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955" tabRatio="694" firstSheet="3" activeTab="5"/>
  </bookViews>
  <sheets>
    <sheet name="Sheet1" sheetId="1" r:id="rId1"/>
    <sheet name="ORIGINAL PRO FORMA" sheetId="2" r:id="rId2"/>
    <sheet name="MODIFIED PRO FORMA 1" sheetId="3" r:id="rId3"/>
    <sheet name="MODIFIED PRO FORMA 2" sheetId="4" r:id="rId4"/>
    <sheet name="Modf Pro Forma - Vacancy" sheetId="5" r:id="rId5"/>
    <sheet name="What-If Scenarios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<sst xmlns="http://schemas.openxmlformats.org/spreadsheetml/2006/main" count="426" uniqueCount="138">
  <si>
    <t>Original Pro Forma per Case</t>
  </si>
  <si>
    <t>Rent Roll</t>
  </si>
  <si>
    <t>Vacancy (10%)</t>
  </si>
  <si>
    <t>Effective Gross Income</t>
  </si>
  <si>
    <t>Op Ex @ $4.50</t>
  </si>
  <si>
    <t>First Mortgage</t>
  </si>
  <si>
    <t>Second Mortgage</t>
  </si>
  <si>
    <t>Cash Flow After Financing</t>
  </si>
  <si>
    <t>4Q 2008</t>
  </si>
  <si>
    <t>Cash Flow from Operations</t>
  </si>
  <si>
    <t>Year 1: 2009</t>
  </si>
  <si>
    <t>Year 2: 2010</t>
  </si>
  <si>
    <t>Rent</t>
  </si>
  <si>
    <t>Expenses</t>
  </si>
  <si>
    <t>Total</t>
  </si>
  <si>
    <t>Modified Pro Forma per Case with Bridge Loan</t>
  </si>
  <si>
    <t>Bridge Loan</t>
  </si>
  <si>
    <t xml:space="preserve">Building </t>
  </si>
  <si>
    <t>Debt</t>
  </si>
  <si>
    <t>Equity</t>
  </si>
  <si>
    <t>Improvements+ Fees</t>
  </si>
  <si>
    <t>Proforma Variables</t>
  </si>
  <si>
    <t>Deal Specifics</t>
  </si>
  <si>
    <t>Rentable SF</t>
  </si>
  <si>
    <t>Rent/SF/Year</t>
  </si>
  <si>
    <t>Vacancy Loss</t>
  </si>
  <si>
    <t>Income</t>
  </si>
  <si>
    <t>Base Rent</t>
  </si>
  <si>
    <t>Expense Reimbursement</t>
  </si>
  <si>
    <t xml:space="preserve">   Gross Income</t>
  </si>
  <si>
    <t>Vacancy</t>
  </si>
  <si>
    <t xml:space="preserve">    Adjusted Gross Income</t>
  </si>
  <si>
    <t>Expense growth Rate</t>
  </si>
  <si>
    <t>Real Estate Taxes</t>
  </si>
  <si>
    <t>Insurance</t>
  </si>
  <si>
    <t>Management Fee</t>
  </si>
  <si>
    <t xml:space="preserve">    Total Operating Expenses</t>
  </si>
  <si>
    <t>Return on Asset</t>
  </si>
  <si>
    <t>Debt Analysis</t>
  </si>
  <si>
    <t>LTV</t>
  </si>
  <si>
    <t>Loan Amount (PV)</t>
  </si>
  <si>
    <t>Interest Rate</t>
  </si>
  <si>
    <t>Term</t>
  </si>
  <si>
    <t>Amortization</t>
  </si>
  <si>
    <t>Annual DS</t>
  </si>
  <si>
    <t>Before Tax Cash Flow</t>
  </si>
  <si>
    <t>IRR</t>
  </si>
  <si>
    <t>7.5 or 10</t>
  </si>
  <si>
    <t>Operating Expenses</t>
  </si>
  <si>
    <t>Mortgage Payment</t>
  </si>
  <si>
    <t xml:space="preserve"> Tenant Improvements</t>
  </si>
  <si>
    <t>Cash Flow before Financing</t>
  </si>
  <si>
    <t>Purchase Price-&gt;Equity</t>
  </si>
  <si>
    <t>Ruthie Americus &amp; Anil Cheerla</t>
  </si>
  <si>
    <t xml:space="preserve"> Leasing Commission</t>
  </si>
  <si>
    <t xml:space="preserve"> Income Tax</t>
  </si>
  <si>
    <t>Selling Costs</t>
  </si>
  <si>
    <t>Sales Price</t>
  </si>
  <si>
    <t>Mortgage Repayment</t>
  </si>
  <si>
    <t>Total Proceeds</t>
  </si>
  <si>
    <t>Annual Rental Income</t>
  </si>
  <si>
    <t xml:space="preserve">Annual Income </t>
  </si>
  <si>
    <t>renewals</t>
  </si>
  <si>
    <t>vacant</t>
  </si>
  <si>
    <t>Total AI</t>
  </si>
  <si>
    <t>Structural Reserve</t>
  </si>
  <si>
    <t>Funding sources</t>
  </si>
  <si>
    <t>1st mortgage</t>
  </si>
  <si>
    <t>2nd mortgage</t>
  </si>
  <si>
    <t>bridge loan</t>
  </si>
  <si>
    <t>equity</t>
  </si>
  <si>
    <t>10 yr 7.5% int only</t>
  </si>
  <si>
    <t>10 yr 10% int only</t>
  </si>
  <si>
    <t xml:space="preserve">15% + 10% of proceeds - no early payoff </t>
  </si>
  <si>
    <t>split</t>
  </si>
  <si>
    <t>If req - 200K - 10% loan</t>
  </si>
  <si>
    <t>seller tried to repurch 150K profit</t>
  </si>
  <si>
    <t>Escalated Costs</t>
  </si>
  <si>
    <t>Budgeted Costs</t>
  </si>
  <si>
    <t>3 months</t>
  </si>
  <si>
    <t>floors</t>
  </si>
  <si>
    <t>1.5 yrs</t>
  </si>
  <si>
    <t>1 yr</t>
  </si>
  <si>
    <t>retail,2, 5, 6 floors</t>
  </si>
  <si>
    <t>.5 yr</t>
  </si>
  <si>
    <t>3,4 floors</t>
  </si>
  <si>
    <t>cost</t>
  </si>
  <si>
    <t>100K</t>
  </si>
  <si>
    <t>retail</t>
  </si>
  <si>
    <t>ready dec 2009</t>
  </si>
  <si>
    <t>25k damages</t>
  </si>
  <si>
    <t>glass</t>
  </si>
  <si>
    <t>overun by 60K</t>
  </si>
  <si>
    <t>inspector</t>
  </si>
  <si>
    <t>12 * $150</t>
  </si>
  <si>
    <t>sign bonus</t>
  </si>
  <si>
    <t>20K</t>
  </si>
  <si>
    <t>5000 sq.ft</t>
  </si>
  <si>
    <t>Options</t>
  </si>
  <si>
    <t>Change Construction team - Impossible since they’ve been working for past 1 yr - new contractor may not speed up/have problems with existing work already done</t>
  </si>
  <si>
    <t>Recruit new investors - May be difficult given the past troubles with raising financing, current project situation &amp; credit market conditions</t>
  </si>
  <si>
    <t>Ask Hedge fund to convert debt to equity - Not possible since hedge funds operate on short terms and not into taking ownership of assets, their goal is to make quick returns</t>
  </si>
  <si>
    <t>Contribute personal money - Given their B/S they can contribute, but the existing terms already force them to part with 200K if situation arises, contributing beyond 200K will be risking too much equity into a project with highly undesirable outcomes</t>
  </si>
  <si>
    <t>Incentivize brokers - Good option, but may have to reduce their returns overall. Will work to mitigate vacancy by having large, lon-lasting clients with sound credit &amp; longer leases</t>
  </si>
  <si>
    <t>Stop LEED Pursuit - May not be a wise choice as the bldg may not appeal to new tenants or even existing lease renewals. Possibility to get higher rents may not justified.</t>
  </si>
  <si>
    <t>Levered Returns</t>
  </si>
  <si>
    <t>Initial Outlay</t>
  </si>
  <si>
    <t xml:space="preserve"> Building Renovations</t>
  </si>
  <si>
    <t xml:space="preserve"> Initial Equity</t>
  </si>
  <si>
    <t>Annual Cash Flow</t>
  </si>
  <si>
    <t>Total Cash Flows</t>
  </si>
  <si>
    <t>Annual ROE</t>
  </si>
  <si>
    <t>Steel Street Case: ORIGINAL PRO FORMA FROM CASE</t>
  </si>
  <si>
    <t>Steel Street Case: MODIFIED PRO FORMA WITH LEASING BONUSES</t>
  </si>
  <si>
    <t xml:space="preserve"> Leasing Commission BONUS</t>
  </si>
  <si>
    <t>Steel Street Case: MODIFIED PRO FORMA WITH LEASING BONUSES &amp; MORE EQUITY</t>
  </si>
  <si>
    <t>Sales Proceeds - Mortgage Repayment</t>
  </si>
  <si>
    <t>Vacancy Rate</t>
  </si>
  <si>
    <t>Rental Rates</t>
  </si>
  <si>
    <t>2nd</t>
  </si>
  <si>
    <t>5th</t>
  </si>
  <si>
    <t>6th</t>
  </si>
  <si>
    <t>3rd</t>
  </si>
  <si>
    <t xml:space="preserve">4th </t>
  </si>
  <si>
    <t>Planned Renovations</t>
  </si>
  <si>
    <t xml:space="preserve">1st </t>
  </si>
  <si>
    <t>Floors</t>
  </si>
  <si>
    <t># of months</t>
  </si>
  <si>
    <t>Distr %</t>
  </si>
  <si>
    <t>Year of Renovation</t>
  </si>
  <si>
    <t>Floor area</t>
  </si>
  <si>
    <t>Total Area</t>
  </si>
  <si>
    <t>Base Case: Rental rates vary</t>
  </si>
  <si>
    <t>Base Case: Vacancy rates vary</t>
  </si>
  <si>
    <t>Adjustment: LC of $20K</t>
  </si>
  <si>
    <t>NO LC</t>
  </si>
  <si>
    <t>LC</t>
  </si>
  <si>
    <t>Impact on IRR w/LC+Addl.Equity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</si>
</sst>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?_);_(@_)"/>
    <numFmt numFmtId="168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5" fontId="1" fillId="0" borderId="0" xfId="44" applyNumberFormat="1" applyFont="1" applyAlignment="1">
      <alignment/>
    </xf>
    <xf numFmtId="165" fontId="1" fillId="0" borderId="10" xfId="44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44" applyNumberFormat="1" applyFont="1" applyAlignment="1">
      <alignment/>
    </xf>
    <xf numFmtId="165" fontId="1" fillId="0" borderId="0" xfId="44" applyNumberFormat="1" applyFont="1" applyBorder="1" applyAlignment="1">
      <alignment/>
    </xf>
    <xf numFmtId="8" fontId="0" fillId="0" borderId="0" xfId="0" applyNumberFormat="1" applyAlignment="1">
      <alignment/>
    </xf>
    <xf numFmtId="44" fontId="2" fillId="0" borderId="0" xfId="44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5" fontId="1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165" fontId="1" fillId="0" borderId="14" xfId="44" applyNumberFormat="1" applyFont="1" applyBorder="1" applyAlignment="1">
      <alignment/>
    </xf>
    <xf numFmtId="0" fontId="0" fillId="0" borderId="15" xfId="0" applyBorder="1" applyAlignment="1">
      <alignment/>
    </xf>
    <xf numFmtId="165" fontId="1" fillId="0" borderId="16" xfId="44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9" fontId="1" fillId="0" borderId="14" xfId="59" applyFont="1" applyBorder="1" applyAlignment="1">
      <alignment/>
    </xf>
    <xf numFmtId="9" fontId="1" fillId="0" borderId="16" xfId="59" applyFont="1" applyBorder="1" applyAlignment="1">
      <alignment/>
    </xf>
    <xf numFmtId="0" fontId="0" fillId="0" borderId="11" xfId="0" applyBorder="1" applyAlignment="1">
      <alignment/>
    </xf>
    <xf numFmtId="0" fontId="1" fillId="0" borderId="14" xfId="59" applyNumberFormat="1" applyFont="1" applyBorder="1" applyAlignment="1">
      <alignment/>
    </xf>
    <xf numFmtId="8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1" fillId="33" borderId="0" xfId="44" applyNumberFormat="1" applyFont="1" applyFill="1" applyAlignment="1">
      <alignment/>
    </xf>
    <xf numFmtId="9" fontId="1" fillId="33" borderId="0" xfId="59" applyFont="1" applyFill="1" applyAlignment="1">
      <alignment/>
    </xf>
    <xf numFmtId="166" fontId="1" fillId="0" borderId="14" xfId="59" applyNumberFormat="1" applyFont="1" applyBorder="1" applyAlignment="1">
      <alignment/>
    </xf>
    <xf numFmtId="165" fontId="1" fillId="0" borderId="17" xfId="44" applyNumberFormat="1" applyFont="1" applyBorder="1" applyAlignment="1">
      <alignment/>
    </xf>
    <xf numFmtId="165" fontId="6" fillId="0" borderId="17" xfId="44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4" fontId="2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1" fillId="0" borderId="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165" fontId="2" fillId="0" borderId="14" xfId="44" applyNumberFormat="1" applyFont="1" applyBorder="1" applyAlignment="1">
      <alignment/>
    </xf>
    <xf numFmtId="0" fontId="1" fillId="0" borderId="13" xfId="0" applyFont="1" applyBorder="1" applyAlignment="1">
      <alignment/>
    </xf>
    <xf numFmtId="44" fontId="2" fillId="0" borderId="0" xfId="44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59" applyFont="1" applyBorder="1" applyAlignment="1">
      <alignment/>
    </xf>
    <xf numFmtId="9" fontId="2" fillId="0" borderId="14" xfId="59" applyFont="1" applyBorder="1" applyAlignment="1">
      <alignment/>
    </xf>
    <xf numFmtId="165" fontId="1" fillId="0" borderId="0" xfId="44" applyNumberFormat="1" applyFont="1" applyBorder="1" applyAlignment="1">
      <alignment/>
    </xf>
    <xf numFmtId="165" fontId="6" fillId="0" borderId="19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165" fontId="2" fillId="0" borderId="0" xfId="44" applyNumberFormat="1" applyFont="1" applyFill="1" applyBorder="1" applyAlignment="1">
      <alignment/>
    </xf>
    <xf numFmtId="165" fontId="2" fillId="0" borderId="14" xfId="44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5" fontId="1" fillId="34" borderId="0" xfId="44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165" fontId="1" fillId="34" borderId="14" xfId="44" applyNumberFormat="1" applyFont="1" applyFill="1" applyBorder="1" applyAlignment="1">
      <alignment/>
    </xf>
    <xf numFmtId="165" fontId="2" fillId="0" borderId="14" xfId="44" applyNumberFormat="1" applyFont="1" applyBorder="1" applyAlignment="1">
      <alignment/>
    </xf>
    <xf numFmtId="0" fontId="0" fillId="0" borderId="10" xfId="0" applyBorder="1" applyAlignment="1">
      <alignment/>
    </xf>
    <xf numFmtId="6" fontId="0" fillId="0" borderId="0" xfId="0" applyNumberFormat="1" applyAlignment="1">
      <alignment/>
    </xf>
    <xf numFmtId="9" fontId="1" fillId="0" borderId="0" xfId="59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14" xfId="44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0" fontId="0" fillId="0" borderId="14" xfId="59" applyNumberFormat="1" applyFont="1" applyBorder="1" applyAlignment="1">
      <alignment/>
    </xf>
    <xf numFmtId="0" fontId="2" fillId="0" borderId="15" xfId="0" applyFont="1" applyBorder="1" applyAlignment="1">
      <alignment/>
    </xf>
    <xf numFmtId="10" fontId="2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10" fontId="0" fillId="0" borderId="20" xfId="0" applyNumberFormat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right"/>
    </xf>
    <xf numFmtId="9" fontId="0" fillId="0" borderId="20" xfId="0" applyNumberForma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0" fontId="0" fillId="36" borderId="20" xfId="0" applyFill="1" applyBorder="1" applyAlignment="1">
      <alignment horizontal="center"/>
    </xf>
    <xf numFmtId="0" fontId="37" fillId="0" borderId="20" xfId="0" applyFont="1" applyBorder="1" applyAlignment="1">
      <alignment horizontal="center"/>
    </xf>
    <xf numFmtId="168" fontId="0" fillId="0" borderId="20" xfId="0" applyNumberFormat="1" applyBorder="1" applyAlignment="1">
      <alignment/>
    </xf>
    <xf numFmtId="0" fontId="37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0" fillId="0" borderId="20" xfId="0" applyBorder="1" applyAlignment="1">
      <alignment horizontal="right"/>
    </xf>
    <xf numFmtId="0" fontId="37" fillId="0" borderId="0" xfId="0" applyFont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20" xfId="0" applyBorder="1" applyAlignment="1">
      <alignment/>
    </xf>
    <xf numFmtId="0" fontId="37" fillId="35" borderId="21" xfId="0" applyFont="1" applyFill="1" applyBorder="1" applyAlignment="1">
      <alignment horizontal="center"/>
    </xf>
    <xf numFmtId="0" fontId="37" fillId="35" borderId="23" xfId="0" applyFont="1" applyFill="1" applyBorder="1" applyAlignment="1">
      <alignment horizontal="center"/>
    </xf>
    <xf numFmtId="0" fontId="37" fillId="35" borderId="2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4" sqref="D4"/>
    </sheetView>
  </sheetViews>
  <sheetFormatPr defaultColWidth="9.140625" defaultRowHeight="15"/>
  <cols>
    <col min="4" max="4" width="13.140625" style="0" customWidth="1"/>
    <col min="5" max="5" width="11.421875" style="0" customWidth="1"/>
    <col min="6" max="6" width="11.57421875" style="0" bestFit="1" customWidth="1"/>
    <col min="7" max="7" width="10.7109375" style="0" bestFit="1" customWidth="1"/>
    <col min="8" max="8" width="10.57421875" style="0" customWidth="1"/>
    <col min="9" max="11" width="10.7109375" style="0" bestFit="1" customWidth="1"/>
    <col min="12" max="12" width="11.7109375" style="0" customWidth="1"/>
    <col min="13" max="13" width="11.57421875" style="0" customWidth="1"/>
    <col min="14" max="14" width="15.28125" style="0" bestFit="1" customWidth="1"/>
  </cols>
  <sheetData>
    <row r="1" ht="17.25">
      <c r="A1" s="33" t="s">
        <v>112</v>
      </c>
    </row>
    <row r="2" ht="15">
      <c r="A2" t="s">
        <v>53</v>
      </c>
    </row>
    <row r="4" ht="15">
      <c r="A4" s="86" t="s">
        <v>0</v>
      </c>
    </row>
    <row r="5" spans="4:14" ht="15">
      <c r="D5" t="s">
        <v>8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>
        <v>2016</v>
      </c>
      <c r="M5">
        <v>2017</v>
      </c>
      <c r="N5">
        <v>2018</v>
      </c>
    </row>
    <row r="7" spans="1:14" ht="15">
      <c r="A7" t="s">
        <v>1</v>
      </c>
      <c r="D7" s="1">
        <f>321804/4</f>
        <v>80451</v>
      </c>
      <c r="E7" s="1">
        <v>551876</v>
      </c>
      <c r="F7" s="1">
        <v>710648</v>
      </c>
      <c r="G7" s="1">
        <v>768735</v>
      </c>
      <c r="H7" s="1">
        <v>768735</v>
      </c>
      <c r="I7" s="1">
        <v>768735</v>
      </c>
      <c r="J7" s="1">
        <v>768735</v>
      </c>
      <c r="K7" s="1">
        <v>768735</v>
      </c>
      <c r="L7" s="1">
        <v>768735</v>
      </c>
      <c r="M7" s="1">
        <v>768735</v>
      </c>
      <c r="N7" s="1">
        <v>768735</v>
      </c>
    </row>
    <row r="8" spans="1:14" ht="15">
      <c r="A8" t="s">
        <v>2</v>
      </c>
      <c r="C8" s="3"/>
      <c r="D8" s="2">
        <f>D7*(-0.1)</f>
        <v>-8045.1</v>
      </c>
      <c r="E8" s="2">
        <f>E7*(-0.1)</f>
        <v>-55187.600000000006</v>
      </c>
      <c r="F8" s="2">
        <f aca="true" t="shared" si="0" ref="F8:N8">F7*(-0.1)</f>
        <v>-71064.8</v>
      </c>
      <c r="G8" s="2">
        <f t="shared" si="0"/>
        <v>-76873.5</v>
      </c>
      <c r="H8" s="2">
        <f t="shared" si="0"/>
        <v>-76873.5</v>
      </c>
      <c r="I8" s="2">
        <f t="shared" si="0"/>
        <v>-76873.5</v>
      </c>
      <c r="J8" s="2">
        <f t="shared" si="0"/>
        <v>-76873.5</v>
      </c>
      <c r="K8" s="2">
        <f t="shared" si="0"/>
        <v>-76873.5</v>
      </c>
      <c r="L8" s="2">
        <f t="shared" si="0"/>
        <v>-76873.5</v>
      </c>
      <c r="M8" s="2">
        <f t="shared" si="0"/>
        <v>-76873.5</v>
      </c>
      <c r="N8" s="2">
        <f t="shared" si="0"/>
        <v>-76873.5</v>
      </c>
    </row>
    <row r="9" spans="4:14" ht="15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t="s">
        <v>3</v>
      </c>
      <c r="D10" s="1">
        <f>D7+D8</f>
        <v>72405.9</v>
      </c>
      <c r="E10" s="1">
        <f aca="true" t="shared" si="1" ref="E10:N10">E7+E8</f>
        <v>496688.4</v>
      </c>
      <c r="F10" s="1">
        <f t="shared" si="1"/>
        <v>639583.2</v>
      </c>
      <c r="G10" s="1">
        <f t="shared" si="1"/>
        <v>691861.5</v>
      </c>
      <c r="H10" s="1">
        <f t="shared" si="1"/>
        <v>691861.5</v>
      </c>
      <c r="I10" s="1">
        <f t="shared" si="1"/>
        <v>691861.5</v>
      </c>
      <c r="J10" s="1">
        <f t="shared" si="1"/>
        <v>691861.5</v>
      </c>
      <c r="K10" s="1">
        <f t="shared" si="1"/>
        <v>691861.5</v>
      </c>
      <c r="L10" s="1">
        <f t="shared" si="1"/>
        <v>691861.5</v>
      </c>
      <c r="M10" s="1">
        <f t="shared" si="1"/>
        <v>691861.5</v>
      </c>
      <c r="N10" s="1">
        <f t="shared" si="1"/>
        <v>691861.5</v>
      </c>
    </row>
    <row r="11" spans="1:14" ht="15">
      <c r="A11" t="s">
        <v>4</v>
      </c>
      <c r="D11" s="2">
        <v>-37634</v>
      </c>
      <c r="E11" s="2">
        <v>-150273</v>
      </c>
      <c r="F11" s="2">
        <v>-167699</v>
      </c>
      <c r="G11" s="2">
        <f>(-4.5)*41139</f>
        <v>-185125.5</v>
      </c>
      <c r="H11" s="2">
        <f aca="true" t="shared" si="2" ref="H11:N11">(-4.5)*41139</f>
        <v>-185125.5</v>
      </c>
      <c r="I11" s="2">
        <f t="shared" si="2"/>
        <v>-185125.5</v>
      </c>
      <c r="J11" s="2">
        <f t="shared" si="2"/>
        <v>-185125.5</v>
      </c>
      <c r="K11" s="2">
        <f t="shared" si="2"/>
        <v>-185125.5</v>
      </c>
      <c r="L11" s="2">
        <f t="shared" si="2"/>
        <v>-185125.5</v>
      </c>
      <c r="M11" s="2">
        <f t="shared" si="2"/>
        <v>-185125.5</v>
      </c>
      <c r="N11" s="2">
        <f t="shared" si="2"/>
        <v>-185125.5</v>
      </c>
    </row>
    <row r="12" spans="1:14" ht="15">
      <c r="A12" t="s">
        <v>9</v>
      </c>
      <c r="D12" s="1">
        <f>D10+D11</f>
        <v>34771.899999999994</v>
      </c>
      <c r="E12" s="1">
        <f aca="true" t="shared" si="3" ref="E12:N12">E10+E11</f>
        <v>346415.4</v>
      </c>
      <c r="F12" s="1">
        <f t="shared" si="3"/>
        <v>471884.19999999995</v>
      </c>
      <c r="G12" s="1">
        <f t="shared" si="3"/>
        <v>506736</v>
      </c>
      <c r="H12" s="1">
        <f t="shared" si="3"/>
        <v>506736</v>
      </c>
      <c r="I12" s="1">
        <f t="shared" si="3"/>
        <v>506736</v>
      </c>
      <c r="J12" s="1">
        <f t="shared" si="3"/>
        <v>506736</v>
      </c>
      <c r="K12" s="1">
        <f t="shared" si="3"/>
        <v>506736</v>
      </c>
      <c r="L12" s="1">
        <f t="shared" si="3"/>
        <v>506736</v>
      </c>
      <c r="M12" s="1">
        <f t="shared" si="3"/>
        <v>506736</v>
      </c>
      <c r="N12" s="1">
        <f t="shared" si="3"/>
        <v>506736</v>
      </c>
    </row>
    <row r="13" spans="1:14" ht="15">
      <c r="A13" t="s">
        <v>5</v>
      </c>
      <c r="D13" s="1">
        <v>-20282</v>
      </c>
      <c r="E13" s="1">
        <v>-81128</v>
      </c>
      <c r="F13" s="1">
        <v>-81128</v>
      </c>
      <c r="G13" s="1">
        <v>-81128</v>
      </c>
      <c r="H13" s="1">
        <v>-81128</v>
      </c>
      <c r="I13" s="1">
        <v>-81128</v>
      </c>
      <c r="J13" s="1">
        <v>-81128</v>
      </c>
      <c r="K13" s="1">
        <v>-81128</v>
      </c>
      <c r="L13" s="1">
        <v>-81128</v>
      </c>
      <c r="M13" s="1">
        <v>-81128</v>
      </c>
      <c r="N13" s="1">
        <v>-81128</v>
      </c>
    </row>
    <row r="14" spans="1:14" ht="15">
      <c r="A14" t="s">
        <v>6</v>
      </c>
      <c r="D14" s="1">
        <v>-25875</v>
      </c>
      <c r="E14" s="1">
        <f>D14*4</f>
        <v>-103500</v>
      </c>
      <c r="F14" s="1">
        <f>$D$14*4</f>
        <v>-103500</v>
      </c>
      <c r="G14" s="1">
        <f aca="true" t="shared" si="4" ref="G14:N14">$D$14*4</f>
        <v>-103500</v>
      </c>
      <c r="H14" s="1">
        <f t="shared" si="4"/>
        <v>-103500</v>
      </c>
      <c r="I14" s="1">
        <f t="shared" si="4"/>
        <v>-103500</v>
      </c>
      <c r="J14" s="1">
        <f t="shared" si="4"/>
        <v>-103500</v>
      </c>
      <c r="K14" s="1">
        <f t="shared" si="4"/>
        <v>-103500</v>
      </c>
      <c r="L14" s="1">
        <f t="shared" si="4"/>
        <v>-103500</v>
      </c>
      <c r="M14" s="1">
        <f t="shared" si="4"/>
        <v>-103500</v>
      </c>
      <c r="N14" s="1">
        <f t="shared" si="4"/>
        <v>-103500</v>
      </c>
    </row>
    <row r="15" spans="1:14" ht="15">
      <c r="A15" t="s">
        <v>7</v>
      </c>
      <c r="D15" s="1">
        <f>D12+D13+D14</f>
        <v>-11385.100000000006</v>
      </c>
      <c r="E15" s="1">
        <f aca="true" t="shared" si="5" ref="E15:N15">E12+E13+E14</f>
        <v>161787.40000000002</v>
      </c>
      <c r="F15" s="1">
        <f t="shared" si="5"/>
        <v>287256.19999999995</v>
      </c>
      <c r="G15" s="1">
        <f t="shared" si="5"/>
        <v>322108</v>
      </c>
      <c r="H15" s="1">
        <f t="shared" si="5"/>
        <v>322108</v>
      </c>
      <c r="I15" s="1">
        <f t="shared" si="5"/>
        <v>322108</v>
      </c>
      <c r="J15" s="1">
        <f t="shared" si="5"/>
        <v>322108</v>
      </c>
      <c r="K15" s="1">
        <f t="shared" si="5"/>
        <v>322108</v>
      </c>
      <c r="L15" s="1">
        <f t="shared" si="5"/>
        <v>322108</v>
      </c>
      <c r="M15" s="1">
        <f t="shared" si="5"/>
        <v>322108</v>
      </c>
      <c r="N15" s="1">
        <f t="shared" si="5"/>
        <v>322108</v>
      </c>
    </row>
    <row r="18" ht="15">
      <c r="A18" t="s">
        <v>15</v>
      </c>
    </row>
    <row r="19" spans="4:9" ht="15">
      <c r="D19" t="s">
        <v>8</v>
      </c>
      <c r="E19">
        <v>2009</v>
      </c>
      <c r="F19">
        <v>2010</v>
      </c>
      <c r="G19">
        <v>2011</v>
      </c>
      <c r="H19">
        <v>2012</v>
      </c>
      <c r="I19">
        <v>2013</v>
      </c>
    </row>
    <row r="21" spans="1:14" ht="15">
      <c r="A21" t="s">
        <v>1</v>
      </c>
      <c r="D21" s="1">
        <f>321804/4</f>
        <v>80451</v>
      </c>
      <c r="E21" s="1">
        <v>551876</v>
      </c>
      <c r="F21" s="1">
        <v>710648</v>
      </c>
      <c r="G21" s="1">
        <v>768735</v>
      </c>
      <c r="H21" s="1">
        <v>768735</v>
      </c>
      <c r="I21" s="1">
        <v>768735</v>
      </c>
      <c r="J21" s="1"/>
      <c r="K21" s="1"/>
      <c r="L21" s="1"/>
      <c r="M21" s="1"/>
      <c r="N21" s="1"/>
    </row>
    <row r="22" spans="1:14" ht="15">
      <c r="A22" t="s">
        <v>2</v>
      </c>
      <c r="C22" s="3"/>
      <c r="D22" s="2">
        <f aca="true" t="shared" si="6" ref="D22:I22">D21*(-0.1)</f>
        <v>-8045.1</v>
      </c>
      <c r="E22" s="2">
        <f t="shared" si="6"/>
        <v>-55187.600000000006</v>
      </c>
      <c r="F22" s="2">
        <f t="shared" si="6"/>
        <v>-71064.8</v>
      </c>
      <c r="G22" s="2">
        <f t="shared" si="6"/>
        <v>-76873.5</v>
      </c>
      <c r="H22" s="2">
        <f t="shared" si="6"/>
        <v>-76873.5</v>
      </c>
      <c r="I22" s="2">
        <f t="shared" si="6"/>
        <v>-76873.5</v>
      </c>
      <c r="J22" s="8"/>
      <c r="K22" s="8"/>
      <c r="L22" s="8"/>
      <c r="M22" s="8"/>
      <c r="N22" s="8"/>
    </row>
    <row r="23" spans="4:14" ht="15">
      <c r="D23" s="1"/>
      <c r="E23" s="1"/>
      <c r="F23" s="1"/>
      <c r="G23" s="1"/>
      <c r="H23" s="1"/>
      <c r="I23" s="1"/>
      <c r="J23" s="8"/>
      <c r="K23" s="8"/>
      <c r="L23" s="8"/>
      <c r="M23" s="8"/>
      <c r="N23" s="8"/>
    </row>
    <row r="24" spans="1:14" ht="15">
      <c r="A24" t="s">
        <v>3</v>
      </c>
      <c r="D24" s="1">
        <f aca="true" t="shared" si="7" ref="D24:I24">D21+D22</f>
        <v>72405.9</v>
      </c>
      <c r="E24" s="1">
        <f t="shared" si="7"/>
        <v>496688.4</v>
      </c>
      <c r="F24" s="1">
        <f t="shared" si="7"/>
        <v>639583.2</v>
      </c>
      <c r="G24" s="1">
        <f t="shared" si="7"/>
        <v>691861.5</v>
      </c>
      <c r="H24" s="1">
        <f t="shared" si="7"/>
        <v>691861.5</v>
      </c>
      <c r="I24" s="1">
        <f t="shared" si="7"/>
        <v>691861.5</v>
      </c>
      <c r="J24" s="8"/>
      <c r="K24" s="8"/>
      <c r="L24" s="8"/>
      <c r="M24" s="8"/>
      <c r="N24" s="8"/>
    </row>
    <row r="25" spans="1:14" ht="15">
      <c r="A25" t="s">
        <v>4</v>
      </c>
      <c r="D25" s="2">
        <v>-37634</v>
      </c>
      <c r="E25" s="2">
        <v>-150273</v>
      </c>
      <c r="F25" s="2">
        <v>-167699</v>
      </c>
      <c r="G25" s="2">
        <f>(-4.5)*41139</f>
        <v>-185125.5</v>
      </c>
      <c r="H25" s="2">
        <f>(-4.5)*41139</f>
        <v>-185125.5</v>
      </c>
      <c r="I25" s="2">
        <f>(-4.5)*41139</f>
        <v>-185125.5</v>
      </c>
      <c r="J25" s="8"/>
      <c r="K25" s="8"/>
      <c r="L25" s="8"/>
      <c r="M25" s="8"/>
      <c r="N25" s="8"/>
    </row>
    <row r="26" spans="1:14" ht="15">
      <c r="A26" t="s">
        <v>9</v>
      </c>
      <c r="D26" s="1">
        <f aca="true" t="shared" si="8" ref="D26:I26">D24+D25</f>
        <v>34771.899999999994</v>
      </c>
      <c r="E26" s="1">
        <f t="shared" si="8"/>
        <v>346415.4</v>
      </c>
      <c r="F26" s="1">
        <f t="shared" si="8"/>
        <v>471884.19999999995</v>
      </c>
      <c r="G26" s="1">
        <f t="shared" si="8"/>
        <v>506736</v>
      </c>
      <c r="H26" s="1">
        <f t="shared" si="8"/>
        <v>506736</v>
      </c>
      <c r="I26" s="1">
        <f t="shared" si="8"/>
        <v>506736</v>
      </c>
      <c r="J26" s="8"/>
      <c r="K26" s="8"/>
      <c r="L26" s="8"/>
      <c r="M26" s="8"/>
      <c r="N26" s="8"/>
    </row>
    <row r="27" spans="1:14" ht="15">
      <c r="A27" t="s">
        <v>5</v>
      </c>
      <c r="D27" s="1">
        <v>-20282</v>
      </c>
      <c r="E27" s="1">
        <v>-81128</v>
      </c>
      <c r="F27" s="1">
        <v>-81128</v>
      </c>
      <c r="G27" s="1">
        <v>-81128</v>
      </c>
      <c r="H27" s="1">
        <v>-81128</v>
      </c>
      <c r="I27" s="1">
        <v>-81128</v>
      </c>
      <c r="J27" s="1"/>
      <c r="K27" s="1"/>
      <c r="L27" s="1"/>
      <c r="M27" s="1"/>
      <c r="N27" s="1"/>
    </row>
    <row r="28" spans="1:14" ht="15">
      <c r="A28" t="s">
        <v>6</v>
      </c>
      <c r="D28" s="1">
        <v>-25875</v>
      </c>
      <c r="E28" s="1">
        <f>D28*4</f>
        <v>-103500</v>
      </c>
      <c r="F28" s="1">
        <f>$D$14*4</f>
        <v>-103500</v>
      </c>
      <c r="G28" s="1">
        <f>$D$14*4</f>
        <v>-103500</v>
      </c>
      <c r="H28" s="1">
        <f>$D$14*4</f>
        <v>-103500</v>
      </c>
      <c r="I28" s="1">
        <f>$D$14*4</f>
        <v>-103500</v>
      </c>
      <c r="J28" s="1"/>
      <c r="K28" s="1"/>
      <c r="L28" s="1"/>
      <c r="M28" s="1"/>
      <c r="N28" s="1"/>
    </row>
    <row r="29" spans="1:14" s="6" customFormat="1" ht="15">
      <c r="A29" s="6" t="s">
        <v>16</v>
      </c>
      <c r="D29" s="7">
        <v>-22500</v>
      </c>
      <c r="E29" s="7">
        <f>$D$29*4</f>
        <v>-90000</v>
      </c>
      <c r="F29" s="7">
        <f>$D$29*4</f>
        <v>-90000</v>
      </c>
      <c r="G29" s="7">
        <f>$D$29*4</f>
        <v>-90000</v>
      </c>
      <c r="H29" s="7">
        <f>$D$29*4</f>
        <v>-90000</v>
      </c>
      <c r="I29" s="7">
        <f>$D$29*4</f>
        <v>-90000</v>
      </c>
      <c r="J29" s="7"/>
      <c r="K29" s="7"/>
      <c r="L29" s="7"/>
      <c r="M29" s="7"/>
      <c r="N29" s="7"/>
    </row>
    <row r="30" spans="1:14" ht="15">
      <c r="A30" t="s">
        <v>7</v>
      </c>
      <c r="D30" s="1">
        <f aca="true" t="shared" si="9" ref="D30:I30">D26+D27+D28+D29</f>
        <v>-33885.100000000006</v>
      </c>
      <c r="E30" s="1">
        <f t="shared" si="9"/>
        <v>71787.40000000002</v>
      </c>
      <c r="F30" s="1">
        <f t="shared" si="9"/>
        <v>197256.19999999995</v>
      </c>
      <c r="G30" s="1">
        <f t="shared" si="9"/>
        <v>232108</v>
      </c>
      <c r="H30" s="1">
        <f t="shared" si="9"/>
        <v>232108</v>
      </c>
      <c r="I30" s="1">
        <f t="shared" si="9"/>
        <v>232108</v>
      </c>
      <c r="J30" s="1"/>
      <c r="K30" s="1"/>
      <c r="L30" s="1"/>
      <c r="M30" s="1"/>
      <c r="N30" s="1"/>
    </row>
    <row r="34" ht="15">
      <c r="N34" s="9"/>
    </row>
    <row r="36" spans="4:6" ht="15">
      <c r="D36" t="s">
        <v>10</v>
      </c>
      <c r="E36" t="s">
        <v>11</v>
      </c>
      <c r="F36" t="s">
        <v>14</v>
      </c>
    </row>
    <row r="37" spans="3:6" ht="15">
      <c r="C37" t="s">
        <v>12</v>
      </c>
      <c r="D37" s="4">
        <f>62618+61906+(0.75*186660)+(0.75*116175)+(0.75*116175)+(0.75*116175)</f>
        <v>525912.75</v>
      </c>
      <c r="E37" s="4">
        <f>186660+116175+116175+116175+(0.75*116175)+(0.75*117375)</f>
        <v>710347.5</v>
      </c>
      <c r="F37" s="5">
        <f>D37+E37</f>
        <v>1236260.25</v>
      </c>
    </row>
    <row r="38" spans="3:6" ht="15">
      <c r="C38" t="s">
        <v>13</v>
      </c>
      <c r="D38" s="4">
        <f>100000*3+50000+22000+42000+70000+75000+35000</f>
        <v>594000</v>
      </c>
      <c r="E38" s="4">
        <f>100000*2</f>
        <v>200000</v>
      </c>
      <c r="F38" s="5">
        <f>D38+E38</f>
        <v>794000</v>
      </c>
    </row>
    <row r="39" spans="4:6" ht="15">
      <c r="D39" s="4">
        <f>D37-D38</f>
        <v>-68087.25</v>
      </c>
      <c r="E39" s="4">
        <f>E37-E38</f>
        <v>510347.5</v>
      </c>
      <c r="F39" s="4">
        <f>F37-F38</f>
        <v>442260.25</v>
      </c>
    </row>
    <row r="40" spans="4:5" ht="15">
      <c r="D40" s="4"/>
      <c r="E4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2"/>
  <sheetViews>
    <sheetView zoomScalePageLayoutView="0" workbookViewId="0" topLeftCell="A1">
      <selection activeCell="B2" sqref="B2:B3"/>
    </sheetView>
  </sheetViews>
  <sheetFormatPr defaultColWidth="9.140625" defaultRowHeight="15"/>
  <cols>
    <col min="2" max="2" width="25.7109375" style="0" bestFit="1" customWidth="1"/>
    <col min="3" max="3" width="20.57421875" style="0" customWidth="1"/>
    <col min="4" max="4" width="14.57421875" style="0" bestFit="1" customWidth="1"/>
    <col min="5" max="5" width="16.57421875" style="0" customWidth="1"/>
    <col min="6" max="6" width="20.140625" style="0" bestFit="1" customWidth="1"/>
    <col min="7" max="7" width="16.57421875" style="0" customWidth="1"/>
    <col min="8" max="8" width="14.28125" style="0" bestFit="1" customWidth="1"/>
    <col min="9" max="9" width="15.28125" style="0" hidden="1" customWidth="1"/>
    <col min="10" max="10" width="17.28125" style="0" hidden="1" customWidth="1"/>
    <col min="11" max="11" width="17.8515625" style="0" hidden="1" customWidth="1"/>
    <col min="12" max="12" width="14.28125" style="0" hidden="1" customWidth="1"/>
    <col min="13" max="14" width="0" style="0" hidden="1" customWidth="1"/>
  </cols>
  <sheetData>
    <row r="2" ht="18.75" customHeight="1">
      <c r="B2" s="33" t="s">
        <v>112</v>
      </c>
    </row>
    <row r="3" ht="15">
      <c r="B3" t="s">
        <v>53</v>
      </c>
    </row>
    <row r="5" spans="2:14" ht="15">
      <c r="B5" s="11"/>
      <c r="C5" s="12" t="s">
        <v>22</v>
      </c>
      <c r="D5" s="13"/>
      <c r="G5" s="23" t="s">
        <v>38</v>
      </c>
      <c r="H5" s="19"/>
      <c r="K5" t="s">
        <v>78</v>
      </c>
      <c r="N5" t="s">
        <v>86</v>
      </c>
    </row>
    <row r="6" spans="2:14" ht="15">
      <c r="B6" s="3"/>
      <c r="C6" s="14" t="s">
        <v>17</v>
      </c>
      <c r="D6" s="15">
        <v>1802705</v>
      </c>
      <c r="G6" s="14" t="s">
        <v>39</v>
      </c>
      <c r="H6" s="21">
        <v>0.82</v>
      </c>
      <c r="I6">
        <f>2716705/3280590</f>
        <v>0.8281147598450279</v>
      </c>
      <c r="K6" t="s">
        <v>80</v>
      </c>
      <c r="L6" t="s">
        <v>79</v>
      </c>
      <c r="M6" t="s">
        <v>81</v>
      </c>
      <c r="N6" t="s">
        <v>87</v>
      </c>
    </row>
    <row r="7" spans="2:13" ht="15">
      <c r="B7" s="3"/>
      <c r="C7" s="16" t="s">
        <v>20</v>
      </c>
      <c r="D7" s="17">
        <v>1477885</v>
      </c>
      <c r="G7" s="14" t="s">
        <v>40</v>
      </c>
      <c r="H7" s="15">
        <f>D10</f>
        <v>2716705</v>
      </c>
      <c r="K7" t="s">
        <v>83</v>
      </c>
      <c r="M7" t="s">
        <v>82</v>
      </c>
    </row>
    <row r="8" spans="2:13" ht="15">
      <c r="B8" s="3"/>
      <c r="C8" s="14"/>
      <c r="D8" s="15">
        <f>D7+D6</f>
        <v>3280590</v>
      </c>
      <c r="G8" s="14" t="s">
        <v>41</v>
      </c>
      <c r="H8" s="29">
        <v>0.085</v>
      </c>
      <c r="I8" s="28" t="s">
        <v>47</v>
      </c>
      <c r="K8" t="s">
        <v>85</v>
      </c>
      <c r="M8" t="s">
        <v>84</v>
      </c>
    </row>
    <row r="9" spans="2:8" ht="15">
      <c r="B9" s="3"/>
      <c r="C9" s="14"/>
      <c r="D9" s="15"/>
      <c r="G9" s="14" t="s">
        <v>42</v>
      </c>
      <c r="H9" s="20">
        <v>10</v>
      </c>
    </row>
    <row r="10" spans="2:11" ht="15">
      <c r="B10" s="3"/>
      <c r="C10" s="14" t="s">
        <v>18</v>
      </c>
      <c r="D10" s="15">
        <v>2716705</v>
      </c>
      <c r="G10" s="14" t="s">
        <v>43</v>
      </c>
      <c r="H10" s="24">
        <v>30</v>
      </c>
      <c r="K10" t="s">
        <v>77</v>
      </c>
    </row>
    <row r="11" spans="2:13" ht="15">
      <c r="B11" s="3"/>
      <c r="C11" s="16" t="s">
        <v>19</v>
      </c>
      <c r="D11" s="17">
        <v>563885</v>
      </c>
      <c r="G11" s="14" t="s">
        <v>44</v>
      </c>
      <c r="H11" s="25">
        <f>PMT(H8,H10,-H7)</f>
        <v>252790.9632009974</v>
      </c>
      <c r="I11" s="27">
        <f>81128+103500+90000</f>
        <v>274628</v>
      </c>
      <c r="K11" t="s">
        <v>88</v>
      </c>
      <c r="L11" t="s">
        <v>89</v>
      </c>
      <c r="M11" t="s">
        <v>90</v>
      </c>
    </row>
    <row r="12" spans="2:12" ht="15">
      <c r="B12" s="3"/>
      <c r="C12" s="14"/>
      <c r="D12" s="15">
        <f>D10+D11</f>
        <v>3280590</v>
      </c>
      <c r="G12" s="16"/>
      <c r="H12" s="18"/>
      <c r="K12" t="s">
        <v>91</v>
      </c>
      <c r="L12" t="s">
        <v>92</v>
      </c>
    </row>
    <row r="13" spans="3:12" ht="15">
      <c r="C13" s="16"/>
      <c r="D13" s="18"/>
      <c r="K13" t="s">
        <v>93</v>
      </c>
      <c r="L13" t="s">
        <v>94</v>
      </c>
    </row>
    <row r="14" spans="6:13" ht="15">
      <c r="F14" t="s">
        <v>74</v>
      </c>
      <c r="G14" s="65" t="s">
        <v>66</v>
      </c>
      <c r="H14" s="64"/>
      <c r="K14" t="s">
        <v>95</v>
      </c>
      <c r="L14" t="s">
        <v>96</v>
      </c>
      <c r="M14" t="s">
        <v>97</v>
      </c>
    </row>
    <row r="15" spans="2:8" ht="15">
      <c r="B15" s="6"/>
      <c r="C15" s="12" t="s">
        <v>21</v>
      </c>
      <c r="D15" s="19"/>
      <c r="G15" s="64"/>
      <c r="H15" s="64"/>
    </row>
    <row r="16" spans="3:9" ht="15">
      <c r="C16" s="14" t="s">
        <v>23</v>
      </c>
      <c r="D16" s="26">
        <v>41139</v>
      </c>
      <c r="F16">
        <v>50</v>
      </c>
      <c r="G16" s="64" t="s">
        <v>67</v>
      </c>
      <c r="H16" s="64">
        <v>1081705</v>
      </c>
      <c r="I16" t="s">
        <v>71</v>
      </c>
    </row>
    <row r="17" spans="3:9" ht="15">
      <c r="C17" s="14" t="s">
        <v>24</v>
      </c>
      <c r="D17" s="15">
        <v>15</v>
      </c>
      <c r="F17">
        <v>50</v>
      </c>
      <c r="G17" s="64" t="s">
        <v>68</v>
      </c>
      <c r="H17" s="64">
        <v>1035000</v>
      </c>
      <c r="I17" t="s">
        <v>72</v>
      </c>
    </row>
    <row r="18" spans="3:9" ht="15">
      <c r="C18" s="14" t="s">
        <v>25</v>
      </c>
      <c r="D18" s="21">
        <v>0.1</v>
      </c>
      <c r="F18">
        <v>10</v>
      </c>
      <c r="G18" s="64" t="s">
        <v>69</v>
      </c>
      <c r="H18" s="64">
        <v>600000</v>
      </c>
      <c r="I18" t="s">
        <v>73</v>
      </c>
    </row>
    <row r="19" spans="3:9" ht="15">
      <c r="C19" s="16" t="s">
        <v>32</v>
      </c>
      <c r="D19" s="22">
        <v>0</v>
      </c>
      <c r="F19">
        <v>40</v>
      </c>
      <c r="G19" s="64" t="s">
        <v>70</v>
      </c>
      <c r="H19" s="64">
        <v>563885</v>
      </c>
      <c r="I19" t="s">
        <v>75</v>
      </c>
    </row>
    <row r="20" spans="3:8" ht="15">
      <c r="C20" s="3"/>
      <c r="D20" s="63"/>
      <c r="G20" s="3"/>
      <c r="H20" s="3"/>
    </row>
    <row r="21" spans="3:8" ht="15">
      <c r="C21" s="3"/>
      <c r="D21" s="63"/>
      <c r="G21" s="66" t="s">
        <v>76</v>
      </c>
      <c r="H21" s="3"/>
    </row>
    <row r="22" spans="3:4" ht="15">
      <c r="C22" s="3"/>
      <c r="D22" s="63"/>
    </row>
    <row r="24" spans="2:8" ht="15">
      <c r="B24" s="23"/>
      <c r="C24" s="35"/>
      <c r="D24" s="35">
        <v>2009</v>
      </c>
      <c r="E24" s="35">
        <v>2010</v>
      </c>
      <c r="F24" s="35">
        <v>2011</v>
      </c>
      <c r="G24" s="35">
        <v>2012</v>
      </c>
      <c r="H24" s="19">
        <v>2013</v>
      </c>
    </row>
    <row r="25" spans="2:8" ht="15">
      <c r="B25" s="36" t="s">
        <v>26</v>
      </c>
      <c r="C25" s="11"/>
      <c r="D25" s="37"/>
      <c r="E25" s="3"/>
      <c r="F25" s="3"/>
      <c r="G25" s="3"/>
      <c r="H25" s="20"/>
    </row>
    <row r="26" spans="2:9" ht="15">
      <c r="B26" s="14" t="s">
        <v>27</v>
      </c>
      <c r="C26" s="3"/>
      <c r="D26" s="37">
        <v>551876</v>
      </c>
      <c r="E26" s="37">
        <v>710648</v>
      </c>
      <c r="F26" s="37">
        <v>768735</v>
      </c>
      <c r="G26" s="37">
        <v>768735</v>
      </c>
      <c r="H26" s="38">
        <v>768735</v>
      </c>
      <c r="I26" s="5"/>
    </row>
    <row r="27" spans="2:8" ht="15">
      <c r="B27" s="14" t="s">
        <v>28</v>
      </c>
      <c r="C27" s="3"/>
      <c r="D27" s="37">
        <v>0</v>
      </c>
      <c r="E27" s="37">
        <v>0</v>
      </c>
      <c r="F27" s="37">
        <v>0</v>
      </c>
      <c r="G27" s="37">
        <v>0</v>
      </c>
      <c r="H27" s="38">
        <v>0</v>
      </c>
    </row>
    <row r="28" spans="2:8" ht="15">
      <c r="B28" s="14" t="s">
        <v>29</v>
      </c>
      <c r="C28" s="3"/>
      <c r="D28" s="37">
        <f>D27+D26</f>
        <v>551876</v>
      </c>
      <c r="E28" s="37">
        <f>E27+E26</f>
        <v>710648</v>
      </c>
      <c r="F28" s="37">
        <f>F27+F26</f>
        <v>768735</v>
      </c>
      <c r="G28" s="37">
        <f>G27+G26</f>
        <v>768735</v>
      </c>
      <c r="H28" s="38">
        <f>H27+H26</f>
        <v>768735</v>
      </c>
    </row>
    <row r="29" spans="2:8" ht="15">
      <c r="B29" s="14" t="s">
        <v>30</v>
      </c>
      <c r="C29" s="3"/>
      <c r="D29" s="37">
        <f>-($D$18*$D$28)</f>
        <v>-55187.600000000006</v>
      </c>
      <c r="E29" s="37">
        <f>-(($D$18*$E$28))</f>
        <v>-71064.8</v>
      </c>
      <c r="F29" s="37">
        <f>-(($D$18*$F$28))</f>
        <v>-76873.5</v>
      </c>
      <c r="G29" s="37">
        <f>-(($D$18*$F$28))</f>
        <v>-76873.5</v>
      </c>
      <c r="H29" s="38">
        <f>-(($D$18*$F$28))</f>
        <v>-76873.5</v>
      </c>
    </row>
    <row r="30" spans="2:8" ht="15">
      <c r="B30" s="14" t="s">
        <v>31</v>
      </c>
      <c r="C30" s="3"/>
      <c r="D30" s="37">
        <f>D28+D29</f>
        <v>496688.4</v>
      </c>
      <c r="E30" s="37">
        <f>E28+E29</f>
        <v>639583.2</v>
      </c>
      <c r="F30" s="37">
        <f>F28+F29</f>
        <v>691861.5</v>
      </c>
      <c r="G30" s="37">
        <f>G28+G29</f>
        <v>691861.5</v>
      </c>
      <c r="H30" s="38">
        <f>H28+H29</f>
        <v>691861.5</v>
      </c>
    </row>
    <row r="31" spans="2:8" ht="15">
      <c r="B31" s="14"/>
      <c r="C31" s="3"/>
      <c r="D31" s="37"/>
      <c r="E31" s="37"/>
      <c r="F31" s="37"/>
      <c r="G31" s="37"/>
      <c r="H31" s="38"/>
    </row>
    <row r="32" spans="2:8" ht="15">
      <c r="B32" s="14"/>
      <c r="C32" s="3"/>
      <c r="D32" s="3"/>
      <c r="E32" s="3"/>
      <c r="F32" s="3"/>
      <c r="G32" s="3"/>
      <c r="H32" s="20"/>
    </row>
    <row r="33" spans="2:8" ht="15">
      <c r="B33" s="36" t="s">
        <v>13</v>
      </c>
      <c r="C33" s="11"/>
      <c r="D33" s="3"/>
      <c r="E33" s="3"/>
      <c r="F33" s="3"/>
      <c r="G33" s="3"/>
      <c r="H33" s="20"/>
    </row>
    <row r="34" spans="2:8" ht="15">
      <c r="B34" s="14" t="s">
        <v>48</v>
      </c>
      <c r="C34" s="3"/>
      <c r="D34" s="39">
        <v>-150273</v>
      </c>
      <c r="E34" s="39">
        <v>-167699</v>
      </c>
      <c r="F34" s="39">
        <f>-4.5*D16</f>
        <v>-185125.5</v>
      </c>
      <c r="G34" s="39">
        <f>-4.5*D16</f>
        <v>-185125.5</v>
      </c>
      <c r="H34" s="15">
        <f>-4.5*D16</f>
        <v>-185125.5</v>
      </c>
    </row>
    <row r="35" spans="2:8" ht="15">
      <c r="B35" s="14" t="s">
        <v>33</v>
      </c>
      <c r="C35" s="3"/>
      <c r="D35" s="39">
        <v>0</v>
      </c>
      <c r="E35" s="39">
        <v>0</v>
      </c>
      <c r="F35" s="39">
        <v>0</v>
      </c>
      <c r="G35" s="39">
        <v>0</v>
      </c>
      <c r="H35" s="15">
        <v>0</v>
      </c>
    </row>
    <row r="36" spans="2:8" ht="15">
      <c r="B36" s="14" t="s">
        <v>34</v>
      </c>
      <c r="C36" s="3"/>
      <c r="D36" s="39">
        <v>0</v>
      </c>
      <c r="E36" s="39">
        <v>0</v>
      </c>
      <c r="F36" s="39">
        <v>0</v>
      </c>
      <c r="G36" s="39">
        <v>0</v>
      </c>
      <c r="H36" s="15">
        <v>0</v>
      </c>
    </row>
    <row r="37" spans="2:8" ht="15">
      <c r="B37" s="14" t="s">
        <v>35</v>
      </c>
      <c r="C37" s="3"/>
      <c r="D37" s="39">
        <v>0</v>
      </c>
      <c r="E37" s="39">
        <v>0</v>
      </c>
      <c r="F37" s="39">
        <v>0</v>
      </c>
      <c r="G37" s="39">
        <v>0</v>
      </c>
      <c r="H37" s="15">
        <v>0</v>
      </c>
    </row>
    <row r="38" spans="2:8" ht="15">
      <c r="B38" s="14" t="s">
        <v>65</v>
      </c>
      <c r="C38" s="3"/>
      <c r="D38" s="39">
        <v>0</v>
      </c>
      <c r="E38" s="39">
        <v>0</v>
      </c>
      <c r="F38" s="39">
        <v>0</v>
      </c>
      <c r="G38" s="39">
        <v>0</v>
      </c>
      <c r="H38" s="15">
        <v>0</v>
      </c>
    </row>
    <row r="39" spans="2:8" ht="15">
      <c r="B39" s="14" t="s">
        <v>36</v>
      </c>
      <c r="C39" s="3"/>
      <c r="D39" s="39">
        <f>D38+D37+D36+D35+D34</f>
        <v>-150273</v>
      </c>
      <c r="E39" s="39">
        <f>E38+E37+E36+E35+E34</f>
        <v>-167699</v>
      </c>
      <c r="F39" s="39">
        <f>F38+F37+F36+F35+F34</f>
        <v>-185125.5</v>
      </c>
      <c r="G39" s="39">
        <f>G38+G37+G36+G35+G34</f>
        <v>-185125.5</v>
      </c>
      <c r="H39" s="15">
        <f>H38+H37+H36+H35+H34</f>
        <v>-185125.5</v>
      </c>
    </row>
    <row r="40" spans="2:8" s="6" customFormat="1" ht="15">
      <c r="B40" s="36" t="s">
        <v>9</v>
      </c>
      <c r="C40" s="11"/>
      <c r="D40" s="40">
        <f>D30+D39</f>
        <v>346415.4</v>
      </c>
      <c r="E40" s="40">
        <f>E30+E39</f>
        <v>471884.19999999995</v>
      </c>
      <c r="F40" s="40">
        <f>F30+F39</f>
        <v>506736</v>
      </c>
      <c r="G40" s="40">
        <f>G30+G39</f>
        <v>506736</v>
      </c>
      <c r="H40" s="41">
        <f>H30+H39</f>
        <v>506736</v>
      </c>
    </row>
    <row r="41" spans="2:8" ht="15">
      <c r="B41" s="14"/>
      <c r="C41" s="39"/>
      <c r="D41" s="3"/>
      <c r="E41" s="3"/>
      <c r="F41" s="3"/>
      <c r="G41" s="3"/>
      <c r="H41" s="15"/>
    </row>
    <row r="42" spans="2:8" ht="15">
      <c r="B42" s="42" t="s">
        <v>50</v>
      </c>
      <c r="C42" s="3"/>
      <c r="D42" s="43"/>
      <c r="E42" s="40"/>
      <c r="F42" s="40"/>
      <c r="G42" s="40"/>
      <c r="H42" s="41"/>
    </row>
    <row r="43" spans="2:8" ht="15">
      <c r="B43" s="42" t="s">
        <v>54</v>
      </c>
      <c r="C43" s="3"/>
      <c r="D43" s="43"/>
      <c r="E43" s="40"/>
      <c r="F43" s="40"/>
      <c r="G43" s="40"/>
      <c r="H43" s="41"/>
    </row>
    <row r="44" spans="2:8" ht="15">
      <c r="B44" s="44" t="s">
        <v>51</v>
      </c>
      <c r="C44" s="45">
        <f>-D11</f>
        <v>-563885</v>
      </c>
      <c r="D44" s="46">
        <f>D40</f>
        <v>346415.4</v>
      </c>
      <c r="E44" s="46">
        <f>E40</f>
        <v>471884.19999999995</v>
      </c>
      <c r="F44" s="46">
        <f>F40</f>
        <v>506736</v>
      </c>
      <c r="G44" s="46">
        <f>G40</f>
        <v>506736</v>
      </c>
      <c r="H44" s="47">
        <f>H40</f>
        <v>506736</v>
      </c>
    </row>
    <row r="45" spans="2:8" ht="15">
      <c r="B45" s="14"/>
      <c r="C45" s="3"/>
      <c r="D45" s="3"/>
      <c r="E45" s="3"/>
      <c r="F45" s="3"/>
      <c r="G45" s="3"/>
      <c r="H45" s="20"/>
    </row>
    <row r="46" spans="2:8" ht="15">
      <c r="B46" s="44" t="s">
        <v>37</v>
      </c>
      <c r="C46" s="48"/>
      <c r="D46" s="49">
        <f>D44/D8</f>
        <v>0.10559545691476228</v>
      </c>
      <c r="E46" s="49">
        <f>E44/D8</f>
        <v>0.14384126026111155</v>
      </c>
      <c r="F46" s="49">
        <f>F44/D8</f>
        <v>0.15446489808235714</v>
      </c>
      <c r="G46" s="49">
        <f>G44/D8</f>
        <v>0.15446489808235714</v>
      </c>
      <c r="H46" s="50">
        <f>H44/D8</f>
        <v>0.15446489808235714</v>
      </c>
    </row>
    <row r="47" spans="2:8" ht="15">
      <c r="B47" s="14"/>
      <c r="C47" s="3"/>
      <c r="D47" s="3"/>
      <c r="E47" s="3"/>
      <c r="F47" s="3"/>
      <c r="G47" s="3"/>
      <c r="H47" s="20"/>
    </row>
    <row r="48" spans="2:9" ht="15">
      <c r="B48" s="14"/>
      <c r="C48" s="3"/>
      <c r="D48" s="3"/>
      <c r="E48" s="3"/>
      <c r="F48" s="3"/>
      <c r="G48" s="3"/>
      <c r="H48" s="20"/>
      <c r="I48" s="4"/>
    </row>
    <row r="49" spans="2:9" ht="15">
      <c r="B49" s="42" t="s">
        <v>52</v>
      </c>
      <c r="C49" s="51">
        <f>(-563885)</f>
        <v>-563885</v>
      </c>
      <c r="D49" s="39"/>
      <c r="E49" s="40"/>
      <c r="F49" s="40"/>
      <c r="G49" s="40"/>
      <c r="H49" s="41"/>
      <c r="I49" s="10"/>
    </row>
    <row r="50" spans="2:9" ht="15.75" thickBot="1">
      <c r="B50" s="14" t="s">
        <v>49</v>
      </c>
      <c r="C50" s="30"/>
      <c r="D50" s="31">
        <v>-274628</v>
      </c>
      <c r="E50" s="31">
        <v>-274628</v>
      </c>
      <c r="F50" s="31">
        <v>-274628</v>
      </c>
      <c r="G50" s="31">
        <v>-274628</v>
      </c>
      <c r="H50" s="52">
        <v>-274628</v>
      </c>
      <c r="I50" s="9"/>
    </row>
    <row r="51" spans="2:9" s="32" customFormat="1" ht="15.75" thickTop="1">
      <c r="B51" s="44" t="s">
        <v>45</v>
      </c>
      <c r="C51" s="53">
        <f>C49</f>
        <v>-563885</v>
      </c>
      <c r="D51" s="54">
        <f>D44+D50</f>
        <v>71787.40000000002</v>
      </c>
      <c r="E51" s="54">
        <f>E44+E50</f>
        <v>197256.19999999995</v>
      </c>
      <c r="F51" s="54">
        <f>F44+F50</f>
        <v>232108</v>
      </c>
      <c r="G51" s="54">
        <f>G44+G50</f>
        <v>232108</v>
      </c>
      <c r="H51" s="55">
        <f>H44+H50</f>
        <v>232108</v>
      </c>
      <c r="I51" s="34"/>
    </row>
    <row r="52" spans="2:8" ht="15">
      <c r="B52" s="14"/>
      <c r="C52" s="39"/>
      <c r="D52" s="39"/>
      <c r="E52" s="39"/>
      <c r="F52" s="39"/>
      <c r="G52" s="39"/>
      <c r="H52" s="15"/>
    </row>
    <row r="53" spans="2:8" ht="15" hidden="1">
      <c r="B53" s="56" t="s">
        <v>9</v>
      </c>
      <c r="C53" s="57"/>
      <c r="D53" s="57"/>
      <c r="E53" s="57"/>
      <c r="F53" s="57"/>
      <c r="G53" s="57"/>
      <c r="H53" s="58"/>
    </row>
    <row r="54" spans="2:8" ht="15" hidden="1">
      <c r="B54" s="56" t="s">
        <v>55</v>
      </c>
      <c r="C54" s="57"/>
      <c r="D54" s="57"/>
      <c r="E54" s="57"/>
      <c r="F54" s="57"/>
      <c r="G54" s="57"/>
      <c r="H54" s="59"/>
    </row>
    <row r="55" spans="2:8" ht="15" hidden="1">
      <c r="B55" s="14"/>
      <c r="C55" s="39"/>
      <c r="D55" s="39"/>
      <c r="E55" s="39"/>
      <c r="F55" s="39"/>
      <c r="G55" s="39"/>
      <c r="H55" s="15"/>
    </row>
    <row r="56" spans="2:8" ht="15" hidden="1">
      <c r="B56" s="14" t="s">
        <v>57</v>
      </c>
      <c r="C56" s="39"/>
      <c r="D56" s="39"/>
      <c r="E56" s="39"/>
      <c r="F56" s="39"/>
      <c r="G56" s="39"/>
      <c r="H56" s="15">
        <v>5630400</v>
      </c>
    </row>
    <row r="57" spans="2:8" ht="15" hidden="1">
      <c r="B57" s="14" t="s">
        <v>56</v>
      </c>
      <c r="C57" s="39"/>
      <c r="D57" s="39"/>
      <c r="E57" s="39"/>
      <c r="F57" s="39"/>
      <c r="G57" s="39"/>
      <c r="H57" s="15">
        <v>-337824</v>
      </c>
    </row>
    <row r="58" spans="2:8" ht="15" hidden="1">
      <c r="B58" s="14" t="s">
        <v>58</v>
      </c>
      <c r="C58" s="39"/>
      <c r="D58" s="39"/>
      <c r="E58" s="39"/>
      <c r="F58" s="39"/>
      <c r="G58" s="39"/>
      <c r="H58" s="15">
        <v>-2116705</v>
      </c>
    </row>
    <row r="59" spans="2:8" ht="15" hidden="1">
      <c r="B59" s="44" t="s">
        <v>59</v>
      </c>
      <c r="C59" s="39"/>
      <c r="D59" s="39"/>
      <c r="E59" s="39"/>
      <c r="F59" s="39"/>
      <c r="G59" s="39"/>
      <c r="H59" s="60">
        <f>H56+H57+H58</f>
        <v>3175871</v>
      </c>
    </row>
    <row r="60" spans="2:8" ht="15" hidden="1">
      <c r="B60" s="14"/>
      <c r="C60" s="39"/>
      <c r="D60" s="39"/>
      <c r="E60" s="39"/>
      <c r="F60" s="39"/>
      <c r="G60" s="39"/>
      <c r="H60" s="15"/>
    </row>
    <row r="61" spans="2:8" ht="15" hidden="1">
      <c r="B61" s="3"/>
      <c r="C61" s="3"/>
      <c r="D61" s="3"/>
      <c r="E61" s="3"/>
      <c r="F61" s="3"/>
      <c r="G61" s="3"/>
      <c r="H61" s="3"/>
    </row>
    <row r="62" spans="2:8" ht="15">
      <c r="B62" s="67" t="s">
        <v>105</v>
      </c>
      <c r="C62" s="35"/>
      <c r="D62" s="35"/>
      <c r="E62" s="35"/>
      <c r="F62" s="35"/>
      <c r="G62" s="35"/>
      <c r="H62" s="19"/>
    </row>
    <row r="63" spans="2:8" ht="15">
      <c r="B63" s="14"/>
      <c r="C63" s="3" t="s">
        <v>106</v>
      </c>
      <c r="D63" s="3">
        <v>2009</v>
      </c>
      <c r="E63" s="3">
        <v>2010</v>
      </c>
      <c r="F63" s="3">
        <v>2011</v>
      </c>
      <c r="G63" s="3">
        <v>2012</v>
      </c>
      <c r="H63" s="20">
        <v>2013</v>
      </c>
    </row>
    <row r="64" spans="2:8" ht="15">
      <c r="B64" s="14" t="s">
        <v>108</v>
      </c>
      <c r="C64" s="68">
        <f>(-563885)</f>
        <v>-563885</v>
      </c>
      <c r="D64" s="68"/>
      <c r="E64" s="68"/>
      <c r="F64" s="68"/>
      <c r="G64" s="68"/>
      <c r="H64" s="69"/>
    </row>
    <row r="65" spans="2:8" ht="15">
      <c r="B65" s="14" t="s">
        <v>107</v>
      </c>
      <c r="C65" s="68">
        <f>-794000</f>
        <v>-794000</v>
      </c>
      <c r="D65" s="68"/>
      <c r="E65" s="68"/>
      <c r="F65" s="68"/>
      <c r="G65" s="68"/>
      <c r="H65" s="69"/>
    </row>
    <row r="66" spans="2:8" ht="15">
      <c r="B66" s="14"/>
      <c r="C66" s="68"/>
      <c r="D66" s="68"/>
      <c r="E66" s="68"/>
      <c r="F66" s="68"/>
      <c r="G66" s="68"/>
      <c r="H66" s="69"/>
    </row>
    <row r="67" spans="2:8" ht="15">
      <c r="B67" s="14" t="s">
        <v>109</v>
      </c>
      <c r="C67" s="68"/>
      <c r="D67" s="68">
        <f>D51</f>
        <v>71787.40000000002</v>
      </c>
      <c r="E67" s="68">
        <f>E51</f>
        <v>197256.19999999995</v>
      </c>
      <c r="F67" s="68">
        <f>F51</f>
        <v>232108</v>
      </c>
      <c r="G67" s="68">
        <f>G51</f>
        <v>232108</v>
      </c>
      <c r="H67" s="69">
        <f>H51</f>
        <v>232108</v>
      </c>
    </row>
    <row r="68" spans="2:8" ht="15">
      <c r="B68" s="14" t="s">
        <v>116</v>
      </c>
      <c r="C68" s="68"/>
      <c r="D68" s="68"/>
      <c r="E68" s="68"/>
      <c r="F68" s="68"/>
      <c r="G68" s="68"/>
      <c r="H68" s="69">
        <v>3175871</v>
      </c>
    </row>
    <row r="69" spans="2:8" ht="15">
      <c r="B69" s="36" t="s">
        <v>110</v>
      </c>
      <c r="C69" s="40">
        <f>C64+C66+C65</f>
        <v>-1357885</v>
      </c>
      <c r="D69" s="40">
        <f>D67</f>
        <v>71787.40000000002</v>
      </c>
      <c r="E69" s="40">
        <f>E67</f>
        <v>197256.19999999995</v>
      </c>
      <c r="F69" s="40">
        <f>F67</f>
        <v>232108</v>
      </c>
      <c r="G69" s="40">
        <f>G67</f>
        <v>232108</v>
      </c>
      <c r="H69" s="41">
        <f>H67+H68</f>
        <v>3407979</v>
      </c>
    </row>
    <row r="70" spans="2:8" ht="15">
      <c r="B70" s="14"/>
      <c r="C70" s="68"/>
      <c r="D70" s="68"/>
      <c r="E70" s="68"/>
      <c r="F70" s="68"/>
      <c r="G70" s="68"/>
      <c r="H70" s="69"/>
    </row>
    <row r="71" spans="2:8" ht="15">
      <c r="B71" s="14" t="s">
        <v>111</v>
      </c>
      <c r="C71" s="70"/>
      <c r="D71" s="70">
        <f>-D69/$C$69</f>
        <v>0.052867069008052985</v>
      </c>
      <c r="E71" s="70">
        <f>-E69/$C$69</f>
        <v>0.14526723544335488</v>
      </c>
      <c r="F71" s="70">
        <f>-F69/$C$69</f>
        <v>0.17093347374777687</v>
      </c>
      <c r="G71" s="70">
        <f>-G69/$C$69</f>
        <v>0.17093347374777687</v>
      </c>
      <c r="H71" s="71">
        <f>-H67/$C$69</f>
        <v>0.17093347374777687</v>
      </c>
    </row>
    <row r="72" spans="2:8" ht="15">
      <c r="B72" s="72" t="s">
        <v>46</v>
      </c>
      <c r="C72" s="73">
        <f>IRR(C69:H69,10)</f>
        <v>0.2816435209678721</v>
      </c>
      <c r="D72" s="61"/>
      <c r="E72" s="61"/>
      <c r="F72" s="61"/>
      <c r="G72" s="61"/>
      <c r="H72" s="18"/>
    </row>
  </sheetData>
  <sheetProtection/>
  <printOptions/>
  <pageMargins left="0.25" right="0.25" top="0.75" bottom="0.75" header="0.3" footer="0.3"/>
  <pageSetup fitToHeight="0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2"/>
  <sheetViews>
    <sheetView zoomScalePageLayoutView="0" workbookViewId="0" topLeftCell="A1">
      <selection activeCell="F44" sqref="F44"/>
    </sheetView>
  </sheetViews>
  <sheetFormatPr defaultColWidth="9.140625" defaultRowHeight="15"/>
  <cols>
    <col min="2" max="2" width="25.7109375" style="0" bestFit="1" customWidth="1"/>
    <col min="3" max="3" width="20.57421875" style="0" customWidth="1"/>
    <col min="4" max="4" width="14.57421875" style="0" bestFit="1" customWidth="1"/>
    <col min="5" max="5" width="16.57421875" style="0" customWidth="1"/>
    <col min="6" max="6" width="20.140625" style="0" bestFit="1" customWidth="1"/>
    <col min="7" max="7" width="16.57421875" style="0" customWidth="1"/>
    <col min="8" max="8" width="14.28125" style="0" bestFit="1" customWidth="1"/>
    <col min="9" max="9" width="15.28125" style="0" hidden="1" customWidth="1"/>
    <col min="10" max="10" width="17.28125" style="0" hidden="1" customWidth="1"/>
    <col min="11" max="11" width="17.8515625" style="0" hidden="1" customWidth="1"/>
    <col min="12" max="12" width="14.28125" style="0" hidden="1" customWidth="1"/>
    <col min="13" max="14" width="0" style="0" hidden="1" customWidth="1"/>
  </cols>
  <sheetData>
    <row r="2" ht="18.75" customHeight="1">
      <c r="B2" s="33" t="s">
        <v>113</v>
      </c>
    </row>
    <row r="3" ht="15">
      <c r="B3" t="s">
        <v>53</v>
      </c>
    </row>
    <row r="5" spans="2:14" ht="15">
      <c r="B5" s="11"/>
      <c r="C5" s="12" t="s">
        <v>22</v>
      </c>
      <c r="D5" s="13"/>
      <c r="G5" s="23" t="s">
        <v>38</v>
      </c>
      <c r="H5" s="19"/>
      <c r="K5" t="s">
        <v>78</v>
      </c>
      <c r="N5" t="s">
        <v>86</v>
      </c>
    </row>
    <row r="6" spans="2:14" ht="15">
      <c r="B6" s="3"/>
      <c r="C6" s="14" t="s">
        <v>17</v>
      </c>
      <c r="D6" s="15">
        <v>1802705</v>
      </c>
      <c r="G6" s="14" t="s">
        <v>39</v>
      </c>
      <c r="H6" s="21">
        <v>0.82</v>
      </c>
      <c r="I6">
        <f>2716705/3280590</f>
        <v>0.8281147598450279</v>
      </c>
      <c r="K6" t="s">
        <v>80</v>
      </c>
      <c r="L6" t="s">
        <v>79</v>
      </c>
      <c r="M6" t="s">
        <v>81</v>
      </c>
      <c r="N6" t="s">
        <v>87</v>
      </c>
    </row>
    <row r="7" spans="2:13" ht="15">
      <c r="B7" s="3"/>
      <c r="C7" s="16" t="s">
        <v>20</v>
      </c>
      <c r="D7" s="17">
        <v>1477885</v>
      </c>
      <c r="G7" s="14" t="s">
        <v>40</v>
      </c>
      <c r="H7" s="15">
        <f>D10</f>
        <v>2716705</v>
      </c>
      <c r="K7" t="s">
        <v>83</v>
      </c>
      <c r="M7" t="s">
        <v>82</v>
      </c>
    </row>
    <row r="8" spans="2:13" ht="15">
      <c r="B8" s="3"/>
      <c r="C8" s="14"/>
      <c r="D8" s="15">
        <f>D7+D6</f>
        <v>3280590</v>
      </c>
      <c r="G8" s="14" t="s">
        <v>41</v>
      </c>
      <c r="H8" s="29">
        <v>0.085</v>
      </c>
      <c r="I8" s="28" t="s">
        <v>47</v>
      </c>
      <c r="K8" t="s">
        <v>85</v>
      </c>
      <c r="M8" t="s">
        <v>84</v>
      </c>
    </row>
    <row r="9" spans="2:8" ht="15">
      <c r="B9" s="3"/>
      <c r="C9" s="14"/>
      <c r="D9" s="15"/>
      <c r="G9" s="14" t="s">
        <v>42</v>
      </c>
      <c r="H9" s="20">
        <v>10</v>
      </c>
    </row>
    <row r="10" spans="2:11" ht="15">
      <c r="B10" s="3"/>
      <c r="C10" s="14" t="s">
        <v>18</v>
      </c>
      <c r="D10" s="15">
        <v>2716705</v>
      </c>
      <c r="G10" s="14" t="s">
        <v>43</v>
      </c>
      <c r="H10" s="24">
        <v>30</v>
      </c>
      <c r="K10" t="s">
        <v>77</v>
      </c>
    </row>
    <row r="11" spans="2:13" ht="15">
      <c r="B11" s="3"/>
      <c r="C11" s="16" t="s">
        <v>19</v>
      </c>
      <c r="D11" s="17">
        <v>563885</v>
      </c>
      <c r="G11" s="14" t="s">
        <v>44</v>
      </c>
      <c r="H11" s="25">
        <f>PMT(H8,H10,-H7)</f>
        <v>252790.9632009974</v>
      </c>
      <c r="I11" s="27">
        <f>81128+103500+90000</f>
        <v>274628</v>
      </c>
      <c r="K11" t="s">
        <v>88</v>
      </c>
      <c r="L11" t="s">
        <v>89</v>
      </c>
      <c r="M11" t="s">
        <v>90</v>
      </c>
    </row>
    <row r="12" spans="2:12" ht="15">
      <c r="B12" s="3"/>
      <c r="C12" s="14"/>
      <c r="D12" s="15">
        <f>D10+D11</f>
        <v>3280590</v>
      </c>
      <c r="G12" s="16"/>
      <c r="H12" s="18"/>
      <c r="K12" t="s">
        <v>91</v>
      </c>
      <c r="L12" t="s">
        <v>92</v>
      </c>
    </row>
    <row r="13" spans="3:12" ht="15">
      <c r="C13" s="16"/>
      <c r="D13" s="18"/>
      <c r="K13" t="s">
        <v>93</v>
      </c>
      <c r="L13" t="s">
        <v>94</v>
      </c>
    </row>
    <row r="14" spans="6:13" ht="15">
      <c r="F14" t="s">
        <v>74</v>
      </c>
      <c r="G14" s="65" t="s">
        <v>66</v>
      </c>
      <c r="H14" s="64"/>
      <c r="K14" t="s">
        <v>95</v>
      </c>
      <c r="L14" t="s">
        <v>96</v>
      </c>
      <c r="M14" t="s">
        <v>97</v>
      </c>
    </row>
    <row r="15" spans="2:8" ht="15">
      <c r="B15" s="6"/>
      <c r="C15" s="12" t="s">
        <v>21</v>
      </c>
      <c r="D15" s="19"/>
      <c r="G15" s="64"/>
      <c r="H15" s="64"/>
    </row>
    <row r="16" spans="3:9" ht="15">
      <c r="C16" s="14" t="s">
        <v>23</v>
      </c>
      <c r="D16" s="26">
        <v>41139</v>
      </c>
      <c r="F16">
        <v>50</v>
      </c>
      <c r="G16" s="64" t="s">
        <v>67</v>
      </c>
      <c r="H16" s="64">
        <v>1081705</v>
      </c>
      <c r="I16" t="s">
        <v>71</v>
      </c>
    </row>
    <row r="17" spans="3:9" ht="15">
      <c r="C17" s="14" t="s">
        <v>24</v>
      </c>
      <c r="D17" s="15">
        <v>15</v>
      </c>
      <c r="F17">
        <v>50</v>
      </c>
      <c r="G17" s="64" t="s">
        <v>68</v>
      </c>
      <c r="H17" s="64">
        <v>1035000</v>
      </c>
      <c r="I17" t="s">
        <v>72</v>
      </c>
    </row>
    <row r="18" spans="3:9" ht="15">
      <c r="C18" s="14" t="s">
        <v>25</v>
      </c>
      <c r="D18" s="21">
        <v>0.1</v>
      </c>
      <c r="F18">
        <v>10</v>
      </c>
      <c r="G18" s="64" t="s">
        <v>69</v>
      </c>
      <c r="H18" s="64">
        <v>600000</v>
      </c>
      <c r="I18" t="s">
        <v>73</v>
      </c>
    </row>
    <row r="19" spans="3:9" ht="15">
      <c r="C19" s="16" t="s">
        <v>32</v>
      </c>
      <c r="D19" s="22">
        <v>0</v>
      </c>
      <c r="F19">
        <v>40</v>
      </c>
      <c r="G19" s="64" t="s">
        <v>70</v>
      </c>
      <c r="H19" s="64">
        <v>563885</v>
      </c>
      <c r="I19" t="s">
        <v>75</v>
      </c>
    </row>
    <row r="20" spans="3:8" ht="15">
      <c r="C20" s="3"/>
      <c r="D20" s="63"/>
      <c r="G20" s="3"/>
      <c r="H20" s="3"/>
    </row>
    <row r="21" spans="3:8" ht="15">
      <c r="C21" s="3"/>
      <c r="D21" s="63"/>
      <c r="G21" s="66" t="s">
        <v>76</v>
      </c>
      <c r="H21" s="3"/>
    </row>
    <row r="22" spans="3:4" ht="15">
      <c r="C22" s="3"/>
      <c r="D22" s="63"/>
    </row>
    <row r="24" spans="2:8" ht="15">
      <c r="B24" s="23"/>
      <c r="C24" s="35"/>
      <c r="D24" s="35">
        <v>2009</v>
      </c>
      <c r="E24" s="35">
        <v>2010</v>
      </c>
      <c r="F24" s="35">
        <v>2011</v>
      </c>
      <c r="G24" s="35">
        <v>2012</v>
      </c>
      <c r="H24" s="19">
        <v>2013</v>
      </c>
    </row>
    <row r="25" spans="2:8" ht="15">
      <c r="B25" s="36" t="s">
        <v>26</v>
      </c>
      <c r="C25" s="11"/>
      <c r="D25" s="37"/>
      <c r="E25" s="3"/>
      <c r="F25" s="3"/>
      <c r="G25" s="3"/>
      <c r="H25" s="20"/>
    </row>
    <row r="26" spans="2:9" ht="15">
      <c r="B26" s="14" t="s">
        <v>27</v>
      </c>
      <c r="C26" s="3"/>
      <c r="D26" s="37">
        <v>551876</v>
      </c>
      <c r="E26" s="37">
        <v>710648</v>
      </c>
      <c r="F26" s="37">
        <v>768735</v>
      </c>
      <c r="G26" s="37">
        <v>768735</v>
      </c>
      <c r="H26" s="38">
        <v>768735</v>
      </c>
      <c r="I26" s="5"/>
    </row>
    <row r="27" spans="2:8" ht="15">
      <c r="B27" s="14" t="s">
        <v>28</v>
      </c>
      <c r="C27" s="3"/>
      <c r="D27" s="37">
        <v>0</v>
      </c>
      <c r="E27" s="37">
        <v>0</v>
      </c>
      <c r="F27" s="37">
        <v>0</v>
      </c>
      <c r="G27" s="37">
        <v>0</v>
      </c>
      <c r="H27" s="38">
        <v>0</v>
      </c>
    </row>
    <row r="28" spans="2:8" ht="15">
      <c r="B28" s="14" t="s">
        <v>29</v>
      </c>
      <c r="C28" s="3"/>
      <c r="D28" s="37">
        <f>D27+D26</f>
        <v>551876</v>
      </c>
      <c r="E28" s="37">
        <f>E27+E26</f>
        <v>710648</v>
      </c>
      <c r="F28" s="37">
        <f>F27+F26</f>
        <v>768735</v>
      </c>
      <c r="G28" s="37">
        <f>G27+G26</f>
        <v>768735</v>
      </c>
      <c r="H28" s="38">
        <f>H27+H26</f>
        <v>768735</v>
      </c>
    </row>
    <row r="29" spans="2:8" ht="15">
      <c r="B29" s="14" t="s">
        <v>30</v>
      </c>
      <c r="C29" s="3"/>
      <c r="D29" s="37">
        <f>-($D$18*$D$28)</f>
        <v>-55187.600000000006</v>
      </c>
      <c r="E29" s="37">
        <f>-(($D$18*$E$28))</f>
        <v>-71064.8</v>
      </c>
      <c r="F29" s="37">
        <f>-(($D$18*$F$28))</f>
        <v>-76873.5</v>
      </c>
      <c r="G29" s="37">
        <f>-(($D$18*$F$28))</f>
        <v>-76873.5</v>
      </c>
      <c r="H29" s="38">
        <f>-(($D$18*$F$28))</f>
        <v>-76873.5</v>
      </c>
    </row>
    <row r="30" spans="2:8" ht="15">
      <c r="B30" s="14" t="s">
        <v>31</v>
      </c>
      <c r="C30" s="3"/>
      <c r="D30" s="37">
        <f>D28+D29</f>
        <v>496688.4</v>
      </c>
      <c r="E30" s="37">
        <f>E28+E29</f>
        <v>639583.2</v>
      </c>
      <c r="F30" s="37">
        <f>F28+F29</f>
        <v>691861.5</v>
      </c>
      <c r="G30" s="37">
        <f>G28+G29</f>
        <v>691861.5</v>
      </c>
      <c r="H30" s="38">
        <f>H28+H29</f>
        <v>691861.5</v>
      </c>
    </row>
    <row r="31" spans="2:8" ht="15">
      <c r="B31" s="14"/>
      <c r="C31" s="3"/>
      <c r="D31" s="37"/>
      <c r="E31" s="37"/>
      <c r="F31" s="37"/>
      <c r="G31" s="37"/>
      <c r="H31" s="38"/>
    </row>
    <row r="32" spans="2:8" ht="15">
      <c r="B32" s="14"/>
      <c r="C32" s="3"/>
      <c r="D32" s="3"/>
      <c r="E32" s="3"/>
      <c r="F32" s="3"/>
      <c r="G32" s="3"/>
      <c r="H32" s="20"/>
    </row>
    <row r="33" spans="2:8" ht="15">
      <c r="B33" s="36" t="s">
        <v>13</v>
      </c>
      <c r="C33" s="11"/>
      <c r="D33" s="3"/>
      <c r="E33" s="3"/>
      <c r="F33" s="3"/>
      <c r="G33" s="3"/>
      <c r="H33" s="20"/>
    </row>
    <row r="34" spans="2:8" ht="15">
      <c r="B34" s="14" t="s">
        <v>48</v>
      </c>
      <c r="C34" s="3"/>
      <c r="D34" s="39">
        <v>-150273</v>
      </c>
      <c r="E34" s="39">
        <v>-167699</v>
      </c>
      <c r="F34" s="39">
        <f>-4.5*D16</f>
        <v>-185125.5</v>
      </c>
      <c r="G34" s="39">
        <f>-4.5*D16</f>
        <v>-185125.5</v>
      </c>
      <c r="H34" s="15">
        <f>-4.5*D16</f>
        <v>-185125.5</v>
      </c>
    </row>
    <row r="35" spans="2:8" ht="15">
      <c r="B35" s="14" t="s">
        <v>33</v>
      </c>
      <c r="C35" s="3"/>
      <c r="D35" s="39">
        <v>0</v>
      </c>
      <c r="E35" s="39">
        <v>0</v>
      </c>
      <c r="F35" s="39">
        <v>0</v>
      </c>
      <c r="G35" s="39">
        <v>0</v>
      </c>
      <c r="H35" s="15">
        <v>0</v>
      </c>
    </row>
    <row r="36" spans="2:8" ht="15">
      <c r="B36" s="14" t="s">
        <v>34</v>
      </c>
      <c r="C36" s="3"/>
      <c r="D36" s="39">
        <v>0</v>
      </c>
      <c r="E36" s="39">
        <v>0</v>
      </c>
      <c r="F36" s="39">
        <v>0</v>
      </c>
      <c r="G36" s="39">
        <v>0</v>
      </c>
      <c r="H36" s="15">
        <v>0</v>
      </c>
    </row>
    <row r="37" spans="2:8" ht="15">
      <c r="B37" s="14" t="s">
        <v>35</v>
      </c>
      <c r="C37" s="3"/>
      <c r="D37" s="39">
        <v>0</v>
      </c>
      <c r="E37" s="39">
        <v>0</v>
      </c>
      <c r="F37" s="39">
        <v>0</v>
      </c>
      <c r="G37" s="39">
        <v>0</v>
      </c>
      <c r="H37" s="15">
        <v>0</v>
      </c>
    </row>
    <row r="38" spans="2:8" ht="15">
      <c r="B38" s="14" t="s">
        <v>65</v>
      </c>
      <c r="C38" s="3"/>
      <c r="D38" s="39">
        <v>0</v>
      </c>
      <c r="E38" s="39">
        <v>0</v>
      </c>
      <c r="F38" s="39">
        <v>0</v>
      </c>
      <c r="G38" s="39">
        <v>0</v>
      </c>
      <c r="H38" s="15">
        <v>0</v>
      </c>
    </row>
    <row r="39" spans="2:8" ht="15">
      <c r="B39" s="14" t="s">
        <v>36</v>
      </c>
      <c r="C39" s="3"/>
      <c r="D39" s="39">
        <f>D38+D37+D36+D35+D34</f>
        <v>-150273</v>
      </c>
      <c r="E39" s="39">
        <f>E38+E37+E36+E35+E34</f>
        <v>-167699</v>
      </c>
      <c r="F39" s="39">
        <f>F38+F37+F36+F35+F34</f>
        <v>-185125.5</v>
      </c>
      <c r="G39" s="39">
        <f>G38+G37+G36+G35+G34</f>
        <v>-185125.5</v>
      </c>
      <c r="H39" s="15">
        <f>H38+H37+H36+H35+H34</f>
        <v>-185125.5</v>
      </c>
    </row>
    <row r="40" spans="2:8" s="6" customFormat="1" ht="15">
      <c r="B40" s="36" t="s">
        <v>9</v>
      </c>
      <c r="C40" s="11"/>
      <c r="D40" s="40">
        <f>D30+D39</f>
        <v>346415.4</v>
      </c>
      <c r="E40" s="40">
        <f>E30+E39</f>
        <v>471884.19999999995</v>
      </c>
      <c r="F40" s="40">
        <f>F30+F39</f>
        <v>506736</v>
      </c>
      <c r="G40" s="40">
        <f>G30+G39</f>
        <v>506736</v>
      </c>
      <c r="H40" s="41">
        <f>H30+H39</f>
        <v>506736</v>
      </c>
    </row>
    <row r="41" spans="2:8" ht="15">
      <c r="B41" s="14"/>
      <c r="C41" s="39"/>
      <c r="D41" s="3"/>
      <c r="E41" s="3"/>
      <c r="F41" s="3"/>
      <c r="G41" s="3"/>
      <c r="H41" s="15"/>
    </row>
    <row r="42" spans="2:8" ht="15">
      <c r="B42" s="42" t="s">
        <v>50</v>
      </c>
      <c r="C42" s="3"/>
      <c r="D42" s="43"/>
      <c r="E42" s="40"/>
      <c r="F42" s="40"/>
      <c r="G42" s="40"/>
      <c r="H42" s="41"/>
    </row>
    <row r="43" spans="2:8" ht="15">
      <c r="B43" s="42" t="s">
        <v>114</v>
      </c>
      <c r="C43" s="3"/>
      <c r="D43" s="43"/>
      <c r="E43" s="40">
        <f>-(20000*4)</f>
        <v>-80000</v>
      </c>
      <c r="F43" s="40">
        <f>-(20000*4)</f>
        <v>-80000</v>
      </c>
      <c r="G43" s="40"/>
      <c r="H43" s="41"/>
    </row>
    <row r="44" spans="2:8" ht="15">
      <c r="B44" s="44" t="s">
        <v>51</v>
      </c>
      <c r="C44" s="45">
        <f>-D11</f>
        <v>-563885</v>
      </c>
      <c r="D44" s="46">
        <f>D40</f>
        <v>346415.4</v>
      </c>
      <c r="E44" s="46">
        <f>E40+E43</f>
        <v>391884.19999999995</v>
      </c>
      <c r="F44" s="46">
        <f>F40+F43</f>
        <v>426736</v>
      </c>
      <c r="G44" s="46">
        <f>G40</f>
        <v>506736</v>
      </c>
      <c r="H44" s="47">
        <f>H40</f>
        <v>506736</v>
      </c>
    </row>
    <row r="45" spans="2:8" ht="15">
      <c r="B45" s="14"/>
      <c r="C45" s="3"/>
      <c r="D45" s="3"/>
      <c r="E45" s="3"/>
      <c r="F45" s="3"/>
      <c r="G45" s="3"/>
      <c r="H45" s="20"/>
    </row>
    <row r="46" spans="2:8" ht="15">
      <c r="B46" s="44" t="s">
        <v>37</v>
      </c>
      <c r="C46" s="48"/>
      <c r="D46" s="49">
        <f>D44/D8</f>
        <v>0.10559545691476228</v>
      </c>
      <c r="E46" s="49">
        <f>E44/D8</f>
        <v>0.11945540283912344</v>
      </c>
      <c r="F46" s="49">
        <f>F44/D8</f>
        <v>0.13007904066036902</v>
      </c>
      <c r="G46" s="49">
        <f>G44/D8</f>
        <v>0.15446489808235714</v>
      </c>
      <c r="H46" s="50">
        <f>H44/D8</f>
        <v>0.15446489808235714</v>
      </c>
    </row>
    <row r="47" spans="2:8" ht="15">
      <c r="B47" s="14"/>
      <c r="C47" s="3"/>
      <c r="D47" s="3"/>
      <c r="E47" s="3"/>
      <c r="F47" s="3"/>
      <c r="G47" s="3"/>
      <c r="H47" s="20"/>
    </row>
    <row r="48" spans="2:9" ht="15">
      <c r="B48" s="14"/>
      <c r="C48" s="3"/>
      <c r="D48" s="3"/>
      <c r="E48" s="3"/>
      <c r="F48" s="3"/>
      <c r="G48" s="3"/>
      <c r="H48" s="20"/>
      <c r="I48" s="4"/>
    </row>
    <row r="49" spans="2:9" ht="15">
      <c r="B49" s="42" t="s">
        <v>52</v>
      </c>
      <c r="C49" s="51">
        <f>(-563885)</f>
        <v>-563885</v>
      </c>
      <c r="D49" s="39"/>
      <c r="E49" s="40"/>
      <c r="F49" s="40"/>
      <c r="G49" s="40"/>
      <c r="H49" s="41"/>
      <c r="I49" s="10"/>
    </row>
    <row r="50" spans="2:9" ht="15.75" thickBot="1">
      <c r="B50" s="14" t="s">
        <v>49</v>
      </c>
      <c r="C50" s="30"/>
      <c r="D50" s="31">
        <v>-274628</v>
      </c>
      <c r="E50" s="31">
        <v>-274628</v>
      </c>
      <c r="F50" s="31">
        <v>-274628</v>
      </c>
      <c r="G50" s="31">
        <v>-274628</v>
      </c>
      <c r="H50" s="52">
        <v>-274628</v>
      </c>
      <c r="I50" s="9"/>
    </row>
    <row r="51" spans="2:9" s="32" customFormat="1" ht="15.75" thickTop="1">
      <c r="B51" s="44" t="s">
        <v>45</v>
      </c>
      <c r="C51" s="53">
        <f>C49</f>
        <v>-563885</v>
      </c>
      <c r="D51" s="54">
        <f>D44+D50</f>
        <v>71787.40000000002</v>
      </c>
      <c r="E51" s="54">
        <f>E44+E50</f>
        <v>117256.19999999995</v>
      </c>
      <c r="F51" s="54">
        <f>F44+F50</f>
        <v>152108</v>
      </c>
      <c r="G51" s="54">
        <f>G44+G50</f>
        <v>232108</v>
      </c>
      <c r="H51" s="55">
        <f>H44+H50</f>
        <v>232108</v>
      </c>
      <c r="I51" s="34"/>
    </row>
    <row r="52" spans="2:8" ht="15">
      <c r="B52" s="14"/>
      <c r="C52" s="39"/>
      <c r="D52" s="39"/>
      <c r="E52" s="39"/>
      <c r="F52" s="39"/>
      <c r="G52" s="39"/>
      <c r="H52" s="15"/>
    </row>
    <row r="53" spans="2:8" ht="15" hidden="1">
      <c r="B53" s="56" t="s">
        <v>9</v>
      </c>
      <c r="C53" s="57"/>
      <c r="D53" s="57"/>
      <c r="E53" s="57"/>
      <c r="F53" s="57"/>
      <c r="G53" s="57"/>
      <c r="H53" s="58"/>
    </row>
    <row r="54" spans="2:8" ht="15" hidden="1">
      <c r="B54" s="56" t="s">
        <v>55</v>
      </c>
      <c r="C54" s="57"/>
      <c r="D54" s="57"/>
      <c r="E54" s="57"/>
      <c r="F54" s="57"/>
      <c r="G54" s="57"/>
      <c r="H54" s="59"/>
    </row>
    <row r="55" spans="2:8" ht="15" hidden="1">
      <c r="B55" s="14"/>
      <c r="C55" s="39"/>
      <c r="D55" s="39"/>
      <c r="E55" s="39"/>
      <c r="F55" s="39"/>
      <c r="G55" s="39"/>
      <c r="H55" s="15"/>
    </row>
    <row r="56" spans="2:8" ht="15" hidden="1">
      <c r="B56" s="14" t="s">
        <v>57</v>
      </c>
      <c r="C56" s="39"/>
      <c r="D56" s="39"/>
      <c r="E56" s="39"/>
      <c r="F56" s="39"/>
      <c r="G56" s="39"/>
      <c r="H56" s="15">
        <v>5630400</v>
      </c>
    </row>
    <row r="57" spans="2:8" ht="15" hidden="1">
      <c r="B57" s="14" t="s">
        <v>56</v>
      </c>
      <c r="C57" s="39"/>
      <c r="D57" s="39"/>
      <c r="E57" s="39"/>
      <c r="F57" s="39"/>
      <c r="G57" s="39"/>
      <c r="H57" s="15">
        <v>-337824</v>
      </c>
    </row>
    <row r="58" spans="2:8" ht="15" hidden="1">
      <c r="B58" s="14" t="s">
        <v>58</v>
      </c>
      <c r="C58" s="39"/>
      <c r="D58" s="39"/>
      <c r="E58" s="39"/>
      <c r="F58" s="39"/>
      <c r="G58" s="39"/>
      <c r="H58" s="15">
        <v>-2116705</v>
      </c>
    </row>
    <row r="59" spans="2:8" ht="15" hidden="1">
      <c r="B59" s="44" t="s">
        <v>59</v>
      </c>
      <c r="C59" s="39"/>
      <c r="D59" s="39"/>
      <c r="E59" s="39"/>
      <c r="F59" s="39"/>
      <c r="G59" s="39"/>
      <c r="H59" s="60">
        <f>H56+H57+H58</f>
        <v>3175871</v>
      </c>
    </row>
    <row r="60" spans="2:8" ht="15" hidden="1">
      <c r="B60" s="14"/>
      <c r="C60" s="39"/>
      <c r="D60" s="39"/>
      <c r="E60" s="39"/>
      <c r="F60" s="39"/>
      <c r="G60" s="39"/>
      <c r="H60" s="15"/>
    </row>
    <row r="61" spans="2:8" ht="15" hidden="1">
      <c r="B61" s="3"/>
      <c r="C61" s="3"/>
      <c r="D61" s="3"/>
      <c r="E61" s="3"/>
      <c r="F61" s="3"/>
      <c r="G61" s="3"/>
      <c r="H61" s="3"/>
    </row>
    <row r="62" spans="2:8" ht="15">
      <c r="B62" s="67" t="s">
        <v>105</v>
      </c>
      <c r="C62" s="35"/>
      <c r="D62" s="35"/>
      <c r="E62" s="35"/>
      <c r="F62" s="35"/>
      <c r="G62" s="35"/>
      <c r="H62" s="19"/>
    </row>
    <row r="63" spans="2:8" ht="15">
      <c r="B63" s="14"/>
      <c r="C63" s="3" t="s">
        <v>106</v>
      </c>
      <c r="D63" s="3">
        <v>2009</v>
      </c>
      <c r="E63" s="3">
        <v>2010</v>
      </c>
      <c r="F63" s="3">
        <v>2011</v>
      </c>
      <c r="G63" s="3">
        <v>2012</v>
      </c>
      <c r="H63" s="20">
        <v>2013</v>
      </c>
    </row>
    <row r="64" spans="2:8" ht="15">
      <c r="B64" s="14" t="s">
        <v>108</v>
      </c>
      <c r="C64" s="68">
        <f>(-563885)</f>
        <v>-563885</v>
      </c>
      <c r="D64" s="68"/>
      <c r="E64" s="68"/>
      <c r="F64" s="68"/>
      <c r="G64" s="68"/>
      <c r="H64" s="69"/>
    </row>
    <row r="65" spans="2:8" ht="15">
      <c r="B65" s="14" t="s">
        <v>107</v>
      </c>
      <c r="C65" s="68">
        <f>-794000</f>
        <v>-794000</v>
      </c>
      <c r="D65" s="68"/>
      <c r="E65" s="68"/>
      <c r="F65" s="68"/>
      <c r="G65" s="68"/>
      <c r="H65" s="69"/>
    </row>
    <row r="66" spans="2:8" ht="15">
      <c r="B66" s="14"/>
      <c r="C66" s="68"/>
      <c r="D66" s="68"/>
      <c r="E66" s="68"/>
      <c r="F66" s="68"/>
      <c r="G66" s="68"/>
      <c r="H66" s="69"/>
    </row>
    <row r="67" spans="2:8" ht="15">
      <c r="B67" s="14" t="s">
        <v>109</v>
      </c>
      <c r="C67" s="68"/>
      <c r="D67" s="68">
        <f>D51</f>
        <v>71787.40000000002</v>
      </c>
      <c r="E67" s="68">
        <f>E51</f>
        <v>117256.19999999995</v>
      </c>
      <c r="F67" s="68">
        <f>F51</f>
        <v>152108</v>
      </c>
      <c r="G67" s="68">
        <f>G51</f>
        <v>232108</v>
      </c>
      <c r="H67" s="69">
        <f>H51</f>
        <v>232108</v>
      </c>
    </row>
    <row r="68" spans="2:8" ht="15">
      <c r="B68" s="14" t="s">
        <v>116</v>
      </c>
      <c r="C68" s="68"/>
      <c r="D68" s="68"/>
      <c r="E68" s="68"/>
      <c r="F68" s="68"/>
      <c r="G68" s="68"/>
      <c r="H68" s="69">
        <v>3175871</v>
      </c>
    </row>
    <row r="69" spans="2:8" ht="15">
      <c r="B69" s="36" t="s">
        <v>110</v>
      </c>
      <c r="C69" s="40">
        <f>C64+C66+C65</f>
        <v>-1357885</v>
      </c>
      <c r="D69" s="40">
        <f>D67</f>
        <v>71787.40000000002</v>
      </c>
      <c r="E69" s="40">
        <f>E67</f>
        <v>117256.19999999995</v>
      </c>
      <c r="F69" s="40">
        <f>F67</f>
        <v>152108</v>
      </c>
      <c r="G69" s="40">
        <f>G67</f>
        <v>232108</v>
      </c>
      <c r="H69" s="41">
        <f>H67+H68</f>
        <v>3407979</v>
      </c>
    </row>
    <row r="70" spans="2:8" ht="15">
      <c r="B70" s="14"/>
      <c r="C70" s="68"/>
      <c r="D70" s="68"/>
      <c r="E70" s="68"/>
      <c r="F70" s="68"/>
      <c r="G70" s="68"/>
      <c r="H70" s="69"/>
    </row>
    <row r="71" spans="2:8" ht="15">
      <c r="B71" s="14" t="s">
        <v>111</v>
      </c>
      <c r="C71" s="70"/>
      <c r="D71" s="70">
        <f>-D69/$C$69</f>
        <v>0.052867069008052985</v>
      </c>
      <c r="E71" s="70">
        <f>-E69/$C$69</f>
        <v>0.08635208430758125</v>
      </c>
      <c r="F71" s="70">
        <f>-F69/$C$69</f>
        <v>0.11201832261200323</v>
      </c>
      <c r="G71" s="70">
        <f>-G69/$C$69</f>
        <v>0.17093347374777687</v>
      </c>
      <c r="H71" s="71">
        <f>-H67/$C$69</f>
        <v>0.17093347374777687</v>
      </c>
    </row>
    <row r="72" spans="2:8" ht="15">
      <c r="B72" s="72" t="s">
        <v>46</v>
      </c>
      <c r="C72" s="73">
        <f>IRR(C69:H69,10)</f>
        <v>0.26291771636576017</v>
      </c>
      <c r="D72" s="61"/>
      <c r="E72" s="61"/>
      <c r="F72" s="61"/>
      <c r="G72" s="61"/>
      <c r="H72" s="1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72"/>
  <sheetViews>
    <sheetView zoomScalePageLayoutView="0" workbookViewId="0" topLeftCell="B1">
      <selection activeCell="E26" sqref="E26"/>
    </sheetView>
  </sheetViews>
  <sheetFormatPr defaultColWidth="9.140625" defaultRowHeight="15"/>
  <cols>
    <col min="2" max="2" width="25.7109375" style="0" bestFit="1" customWidth="1"/>
    <col min="3" max="3" width="20.57421875" style="0" customWidth="1"/>
    <col min="4" max="4" width="14.57421875" style="0" bestFit="1" customWidth="1"/>
    <col min="5" max="5" width="16.57421875" style="0" customWidth="1"/>
    <col min="6" max="6" width="20.140625" style="0" bestFit="1" customWidth="1"/>
    <col min="7" max="7" width="16.57421875" style="0" customWidth="1"/>
    <col min="8" max="8" width="14.28125" style="0" bestFit="1" customWidth="1"/>
    <col min="9" max="9" width="15.28125" style="0" bestFit="1" customWidth="1"/>
    <col min="10" max="10" width="17.28125" style="0" bestFit="1" customWidth="1"/>
    <col min="11" max="11" width="17.8515625" style="0" customWidth="1"/>
    <col min="12" max="12" width="14.28125" style="0" customWidth="1"/>
  </cols>
  <sheetData>
    <row r="2" ht="18.75" customHeight="1">
      <c r="B2" s="33" t="s">
        <v>115</v>
      </c>
    </row>
    <row r="3" ht="15">
      <c r="B3" t="s">
        <v>53</v>
      </c>
    </row>
    <row r="5" spans="2:14" ht="15">
      <c r="B5" s="11"/>
      <c r="C5" s="12" t="s">
        <v>22</v>
      </c>
      <c r="D5" s="13"/>
      <c r="G5" s="23" t="s">
        <v>38</v>
      </c>
      <c r="H5" s="19"/>
      <c r="K5" t="s">
        <v>78</v>
      </c>
      <c r="N5" t="s">
        <v>86</v>
      </c>
    </row>
    <row r="6" spans="2:14" ht="15">
      <c r="B6" s="3"/>
      <c r="C6" s="14" t="s">
        <v>17</v>
      </c>
      <c r="D6" s="15">
        <v>1802705</v>
      </c>
      <c r="G6" s="14" t="s">
        <v>39</v>
      </c>
      <c r="H6" s="21">
        <v>0.82</v>
      </c>
      <c r="I6">
        <f>2716705/3280590</f>
        <v>0.8281147598450279</v>
      </c>
      <c r="K6" t="s">
        <v>80</v>
      </c>
      <c r="L6" t="s">
        <v>79</v>
      </c>
      <c r="M6" t="s">
        <v>81</v>
      </c>
      <c r="N6" t="s">
        <v>87</v>
      </c>
    </row>
    <row r="7" spans="2:13" ht="15">
      <c r="B7" s="3"/>
      <c r="C7" s="16" t="s">
        <v>20</v>
      </c>
      <c r="D7" s="17">
        <v>1477885</v>
      </c>
      <c r="G7" s="14" t="s">
        <v>40</v>
      </c>
      <c r="H7" s="15">
        <f>D10</f>
        <v>2116705</v>
      </c>
      <c r="K7" t="s">
        <v>83</v>
      </c>
      <c r="M7" t="s">
        <v>82</v>
      </c>
    </row>
    <row r="8" spans="2:13" ht="15">
      <c r="B8" s="3"/>
      <c r="C8" s="14"/>
      <c r="D8" s="15">
        <f>D7+D6</f>
        <v>3280590</v>
      </c>
      <c r="G8" s="14" t="s">
        <v>41</v>
      </c>
      <c r="H8" s="29">
        <v>0.085</v>
      </c>
      <c r="I8" s="28" t="s">
        <v>47</v>
      </c>
      <c r="K8" t="s">
        <v>85</v>
      </c>
      <c r="M8" t="s">
        <v>84</v>
      </c>
    </row>
    <row r="9" spans="2:8" ht="15">
      <c r="B9" s="3"/>
      <c r="C9" s="14"/>
      <c r="D9" s="15"/>
      <c r="G9" s="14" t="s">
        <v>42</v>
      </c>
      <c r="H9" s="20">
        <v>10</v>
      </c>
    </row>
    <row r="10" spans="2:11" ht="15">
      <c r="B10" s="3"/>
      <c r="C10" s="14" t="s">
        <v>18</v>
      </c>
      <c r="D10" s="15">
        <f>2716705-600000</f>
        <v>2116705</v>
      </c>
      <c r="G10" s="14" t="s">
        <v>43</v>
      </c>
      <c r="H10" s="24">
        <v>30</v>
      </c>
      <c r="K10" t="s">
        <v>77</v>
      </c>
    </row>
    <row r="11" spans="2:13" ht="15">
      <c r="B11" s="3"/>
      <c r="C11" s="16" t="s">
        <v>19</v>
      </c>
      <c r="D11" s="17">
        <f>563885+600000</f>
        <v>1163885</v>
      </c>
      <c r="G11" s="14" t="s">
        <v>44</v>
      </c>
      <c r="H11" s="25">
        <f>PMT(H8,H10,-H7)</f>
        <v>196960.6180142368</v>
      </c>
      <c r="I11" s="27">
        <f>81128+103500</f>
        <v>184628</v>
      </c>
      <c r="K11" t="s">
        <v>88</v>
      </c>
      <c r="L11" t="s">
        <v>89</v>
      </c>
      <c r="M11" t="s">
        <v>90</v>
      </c>
    </row>
    <row r="12" spans="2:12" ht="15">
      <c r="B12" s="3"/>
      <c r="C12" s="14"/>
      <c r="D12" s="15">
        <f>D10+D11</f>
        <v>3280590</v>
      </c>
      <c r="G12" s="16"/>
      <c r="H12" s="18"/>
      <c r="K12" t="s">
        <v>91</v>
      </c>
      <c r="L12" t="s">
        <v>92</v>
      </c>
    </row>
    <row r="13" spans="3:12" ht="15">
      <c r="C13" s="16"/>
      <c r="D13" s="18"/>
      <c r="K13" t="s">
        <v>93</v>
      </c>
      <c r="L13" t="s">
        <v>94</v>
      </c>
    </row>
    <row r="14" spans="6:13" ht="15">
      <c r="F14" t="s">
        <v>74</v>
      </c>
      <c r="G14" s="65" t="s">
        <v>66</v>
      </c>
      <c r="H14" s="64"/>
      <c r="K14" t="s">
        <v>95</v>
      </c>
      <c r="L14" t="s">
        <v>96</v>
      </c>
      <c r="M14" t="s">
        <v>97</v>
      </c>
    </row>
    <row r="15" spans="2:8" ht="15">
      <c r="B15" s="6"/>
      <c r="C15" s="12" t="s">
        <v>21</v>
      </c>
      <c r="D15" s="19"/>
      <c r="G15" s="64"/>
      <c r="H15" s="64"/>
    </row>
    <row r="16" spans="3:9" ht="15">
      <c r="C16" s="14" t="s">
        <v>23</v>
      </c>
      <c r="D16" s="26">
        <v>41139</v>
      </c>
      <c r="F16">
        <v>50</v>
      </c>
      <c r="G16" s="64" t="s">
        <v>67</v>
      </c>
      <c r="H16" s="64">
        <v>1081705</v>
      </c>
      <c r="I16" t="s">
        <v>71</v>
      </c>
    </row>
    <row r="17" spans="3:9" ht="15">
      <c r="C17" s="14" t="s">
        <v>24</v>
      </c>
      <c r="D17" s="15">
        <v>15</v>
      </c>
      <c r="F17">
        <v>50</v>
      </c>
      <c r="G17" s="64" t="s">
        <v>68</v>
      </c>
      <c r="H17" s="64">
        <v>1035000</v>
      </c>
      <c r="I17" t="s">
        <v>72</v>
      </c>
    </row>
    <row r="18" spans="3:9" ht="15">
      <c r="C18" s="14" t="s">
        <v>25</v>
      </c>
      <c r="D18" s="21">
        <v>0.1</v>
      </c>
      <c r="F18">
        <v>10</v>
      </c>
      <c r="G18" s="64" t="s">
        <v>69</v>
      </c>
      <c r="H18" s="64">
        <v>600000</v>
      </c>
      <c r="I18" t="s">
        <v>73</v>
      </c>
    </row>
    <row r="19" spans="3:9" ht="15">
      <c r="C19" s="16" t="s">
        <v>32</v>
      </c>
      <c r="D19" s="22">
        <v>0</v>
      </c>
      <c r="F19">
        <v>40</v>
      </c>
      <c r="G19" s="64" t="s">
        <v>70</v>
      </c>
      <c r="H19" s="64">
        <v>563885</v>
      </c>
      <c r="I19" t="s">
        <v>75</v>
      </c>
    </row>
    <row r="20" spans="3:8" ht="15">
      <c r="C20" s="3"/>
      <c r="D20" s="63"/>
      <c r="G20" s="3"/>
      <c r="H20" s="3"/>
    </row>
    <row r="21" spans="3:8" ht="15">
      <c r="C21" s="3"/>
      <c r="D21" s="63"/>
      <c r="G21" s="66" t="s">
        <v>76</v>
      </c>
      <c r="H21" s="3"/>
    </row>
    <row r="22" spans="3:4" ht="15">
      <c r="C22" s="3"/>
      <c r="D22" s="63"/>
    </row>
    <row r="24" spans="2:8" ht="15">
      <c r="B24" s="23"/>
      <c r="C24" s="35"/>
      <c r="D24" s="35">
        <v>2009</v>
      </c>
      <c r="E24" s="35">
        <v>2010</v>
      </c>
      <c r="F24" s="35">
        <v>2011</v>
      </c>
      <c r="G24" s="35">
        <v>2012</v>
      </c>
      <c r="H24" s="19">
        <v>2013</v>
      </c>
    </row>
    <row r="25" spans="2:8" ht="15">
      <c r="B25" s="36" t="s">
        <v>26</v>
      </c>
      <c r="C25" s="11"/>
      <c r="D25" s="37"/>
      <c r="E25" s="3"/>
      <c r="F25" s="3"/>
      <c r="G25" s="3"/>
      <c r="H25" s="20"/>
    </row>
    <row r="26" spans="2:9" ht="15">
      <c r="B26" s="14" t="s">
        <v>27</v>
      </c>
      <c r="C26" s="3"/>
      <c r="D26" s="37">
        <v>551876</v>
      </c>
      <c r="E26" s="37">
        <v>710648</v>
      </c>
      <c r="F26" s="37">
        <v>768735</v>
      </c>
      <c r="G26" s="37">
        <v>768735</v>
      </c>
      <c r="H26" s="38">
        <v>768735</v>
      </c>
      <c r="I26" s="5"/>
    </row>
    <row r="27" spans="2:8" ht="15">
      <c r="B27" s="14" t="s">
        <v>28</v>
      </c>
      <c r="C27" s="3"/>
      <c r="D27" s="37">
        <v>0</v>
      </c>
      <c r="E27" s="37">
        <v>0</v>
      </c>
      <c r="F27" s="37">
        <v>0</v>
      </c>
      <c r="G27" s="37">
        <v>0</v>
      </c>
      <c r="H27" s="38">
        <v>0</v>
      </c>
    </row>
    <row r="28" spans="2:8" ht="15">
      <c r="B28" s="14" t="s">
        <v>29</v>
      </c>
      <c r="C28" s="3"/>
      <c r="D28" s="37">
        <f>D27+D26</f>
        <v>551876</v>
      </c>
      <c r="E28" s="37">
        <f>E27+E26</f>
        <v>710648</v>
      </c>
      <c r="F28" s="37">
        <f>F27+F26</f>
        <v>768735</v>
      </c>
      <c r="G28" s="37">
        <f>G27+G26</f>
        <v>768735</v>
      </c>
      <c r="H28" s="38">
        <f>H27+H26</f>
        <v>768735</v>
      </c>
    </row>
    <row r="29" spans="2:8" ht="15">
      <c r="B29" s="14" t="s">
        <v>30</v>
      </c>
      <c r="C29" s="3"/>
      <c r="D29" s="37">
        <f>-($D$18*$D$28)</f>
        <v>-55187.600000000006</v>
      </c>
      <c r="E29" s="37">
        <f>-(($D$18*$E$28))</f>
        <v>-71064.8</v>
      </c>
      <c r="F29" s="37">
        <f>-(($D$18*$F$28))</f>
        <v>-76873.5</v>
      </c>
      <c r="G29" s="37">
        <f>-(($D$18*$F$28))</f>
        <v>-76873.5</v>
      </c>
      <c r="H29" s="38">
        <f>-(($D$18*$F$28))</f>
        <v>-76873.5</v>
      </c>
    </row>
    <row r="30" spans="2:8" ht="15">
      <c r="B30" s="14" t="s">
        <v>31</v>
      </c>
      <c r="C30" s="3"/>
      <c r="D30" s="37">
        <f>D28+D29</f>
        <v>496688.4</v>
      </c>
      <c r="E30" s="37">
        <f>E28+E29</f>
        <v>639583.2</v>
      </c>
      <c r="F30" s="37">
        <f>F28+F29</f>
        <v>691861.5</v>
      </c>
      <c r="G30" s="37">
        <f>G28+G29</f>
        <v>691861.5</v>
      </c>
      <c r="H30" s="38">
        <f>H28+H29</f>
        <v>691861.5</v>
      </c>
    </row>
    <row r="31" spans="2:8" ht="15">
      <c r="B31" s="14"/>
      <c r="C31" s="3"/>
      <c r="D31" s="37"/>
      <c r="E31" s="37"/>
      <c r="F31" s="37"/>
      <c r="G31" s="37"/>
      <c r="H31" s="38"/>
    </row>
    <row r="32" spans="2:8" ht="15">
      <c r="B32" s="14"/>
      <c r="C32" s="3"/>
      <c r="D32" s="3"/>
      <c r="E32" s="3"/>
      <c r="F32" s="3"/>
      <c r="G32" s="3"/>
      <c r="H32" s="20"/>
    </row>
    <row r="33" spans="2:8" ht="15">
      <c r="B33" s="36" t="s">
        <v>13</v>
      </c>
      <c r="C33" s="11"/>
      <c r="D33" s="3"/>
      <c r="E33" s="3"/>
      <c r="F33" s="3"/>
      <c r="G33" s="3"/>
      <c r="H33" s="20"/>
    </row>
    <row r="34" spans="2:8" ht="15">
      <c r="B34" s="14" t="s">
        <v>48</v>
      </c>
      <c r="C34" s="3"/>
      <c r="D34" s="39">
        <v>-150273</v>
      </c>
      <c r="E34" s="39">
        <v>-167699</v>
      </c>
      <c r="F34" s="39">
        <f>-4.5*D16</f>
        <v>-185125.5</v>
      </c>
      <c r="G34" s="39">
        <f>-4.5*D16</f>
        <v>-185125.5</v>
      </c>
      <c r="H34" s="15">
        <f>-4.5*D16</f>
        <v>-185125.5</v>
      </c>
    </row>
    <row r="35" spans="2:8" ht="15">
      <c r="B35" s="14" t="s">
        <v>33</v>
      </c>
      <c r="C35" s="3"/>
      <c r="D35" s="39">
        <v>0</v>
      </c>
      <c r="E35" s="39">
        <v>0</v>
      </c>
      <c r="F35" s="39">
        <v>0</v>
      </c>
      <c r="G35" s="39">
        <v>0</v>
      </c>
      <c r="H35" s="15">
        <v>0</v>
      </c>
    </row>
    <row r="36" spans="2:8" ht="15">
      <c r="B36" s="14" t="s">
        <v>34</v>
      </c>
      <c r="C36" s="3"/>
      <c r="D36" s="39">
        <v>0</v>
      </c>
      <c r="E36" s="39">
        <v>0</v>
      </c>
      <c r="F36" s="39">
        <v>0</v>
      </c>
      <c r="G36" s="39">
        <v>0</v>
      </c>
      <c r="H36" s="15">
        <v>0</v>
      </c>
    </row>
    <row r="37" spans="2:8" ht="15">
      <c r="B37" s="14" t="s">
        <v>35</v>
      </c>
      <c r="C37" s="3"/>
      <c r="D37" s="39">
        <v>0</v>
      </c>
      <c r="E37" s="39">
        <v>0</v>
      </c>
      <c r="F37" s="39">
        <v>0</v>
      </c>
      <c r="G37" s="39">
        <v>0</v>
      </c>
      <c r="H37" s="15">
        <v>0</v>
      </c>
    </row>
    <row r="38" spans="2:8" ht="15">
      <c r="B38" s="14" t="s">
        <v>65</v>
      </c>
      <c r="C38" s="3"/>
      <c r="D38" s="39">
        <v>0</v>
      </c>
      <c r="E38" s="39">
        <v>0</v>
      </c>
      <c r="F38" s="39">
        <v>0</v>
      </c>
      <c r="G38" s="39">
        <v>0</v>
      </c>
      <c r="H38" s="15">
        <v>0</v>
      </c>
    </row>
    <row r="39" spans="2:8" ht="15">
      <c r="B39" s="14" t="s">
        <v>36</v>
      </c>
      <c r="C39" s="3"/>
      <c r="D39" s="39">
        <f>D38+D37+D36+D35+D34</f>
        <v>-150273</v>
      </c>
      <c r="E39" s="39">
        <f>E38+E37+E36+E35+E34</f>
        <v>-167699</v>
      </c>
      <c r="F39" s="39">
        <f>F38+F37+F36+F35+F34</f>
        <v>-185125.5</v>
      </c>
      <c r="G39" s="39">
        <f>G38+G37+G36+G35+G34</f>
        <v>-185125.5</v>
      </c>
      <c r="H39" s="15">
        <f>H38+H37+H36+H35+H34</f>
        <v>-185125.5</v>
      </c>
    </row>
    <row r="40" spans="2:8" s="6" customFormat="1" ht="15">
      <c r="B40" s="36" t="s">
        <v>9</v>
      </c>
      <c r="C40" s="11"/>
      <c r="D40" s="40">
        <f>D30+D39</f>
        <v>346415.4</v>
      </c>
      <c r="E40" s="40">
        <f>E30+E39</f>
        <v>471884.19999999995</v>
      </c>
      <c r="F40" s="40">
        <f>F30+F39</f>
        <v>506736</v>
      </c>
      <c r="G40" s="40">
        <f>G30+G39</f>
        <v>506736</v>
      </c>
      <c r="H40" s="41">
        <f>H30+H39</f>
        <v>506736</v>
      </c>
    </row>
    <row r="41" spans="2:8" ht="15">
      <c r="B41" s="14"/>
      <c r="C41" s="39"/>
      <c r="D41" s="3"/>
      <c r="E41" s="3"/>
      <c r="F41" s="3"/>
      <c r="G41" s="3"/>
      <c r="H41" s="15"/>
    </row>
    <row r="42" spans="2:8" ht="15">
      <c r="B42" s="42" t="s">
        <v>50</v>
      </c>
      <c r="C42" s="3"/>
      <c r="D42" s="43"/>
      <c r="E42" s="40"/>
      <c r="F42" s="40"/>
      <c r="G42" s="40"/>
      <c r="H42" s="41"/>
    </row>
    <row r="43" spans="2:8" ht="15">
      <c r="B43" s="42" t="s">
        <v>114</v>
      </c>
      <c r="C43" s="3"/>
      <c r="D43" s="43"/>
      <c r="E43" s="40">
        <f>-(20000*8)</f>
        <v>-160000</v>
      </c>
      <c r="F43" s="40">
        <f>-(20000*8)</f>
        <v>-160000</v>
      </c>
      <c r="G43" s="40"/>
      <c r="H43" s="41"/>
    </row>
    <row r="44" spans="2:8" ht="15">
      <c r="B44" s="44" t="s">
        <v>51</v>
      </c>
      <c r="C44" s="45">
        <f>-D11</f>
        <v>-1163885</v>
      </c>
      <c r="D44" s="46">
        <f>D40</f>
        <v>346415.4</v>
      </c>
      <c r="E44" s="46">
        <f>E40+E43</f>
        <v>311884.19999999995</v>
      </c>
      <c r="F44" s="46">
        <f>F40+F43</f>
        <v>346736</v>
      </c>
      <c r="G44" s="46">
        <f>G40</f>
        <v>506736</v>
      </c>
      <c r="H44" s="47">
        <f>H40</f>
        <v>506736</v>
      </c>
    </row>
    <row r="45" spans="2:8" ht="15">
      <c r="B45" s="14"/>
      <c r="C45" s="3"/>
      <c r="D45" s="3"/>
      <c r="E45" s="3"/>
      <c r="F45" s="3"/>
      <c r="G45" s="3"/>
      <c r="H45" s="20"/>
    </row>
    <row r="46" spans="2:8" ht="15">
      <c r="B46" s="44" t="s">
        <v>37</v>
      </c>
      <c r="C46" s="48"/>
      <c r="D46" s="49">
        <f>D44/D8</f>
        <v>0.10559545691476228</v>
      </c>
      <c r="E46" s="49">
        <f>E44/D8</f>
        <v>0.09506954541713532</v>
      </c>
      <c r="F46" s="49">
        <f>F44/D8</f>
        <v>0.1056931832383809</v>
      </c>
      <c r="G46" s="49">
        <f>G44/D8</f>
        <v>0.15446489808235714</v>
      </c>
      <c r="H46" s="50">
        <f>H44/D8</f>
        <v>0.15446489808235714</v>
      </c>
    </row>
    <row r="47" spans="2:8" ht="15">
      <c r="B47" s="14"/>
      <c r="C47" s="3"/>
      <c r="D47" s="3"/>
      <c r="E47" s="3"/>
      <c r="F47" s="3"/>
      <c r="G47" s="3"/>
      <c r="H47" s="20"/>
    </row>
    <row r="48" spans="2:9" ht="15">
      <c r="B48" s="14"/>
      <c r="C48" s="3"/>
      <c r="D48" s="3"/>
      <c r="E48" s="3"/>
      <c r="F48" s="3"/>
      <c r="G48" s="3"/>
      <c r="H48" s="20"/>
      <c r="I48" s="4"/>
    </row>
    <row r="49" spans="2:9" ht="15">
      <c r="B49" s="42" t="s">
        <v>52</v>
      </c>
      <c r="C49" s="51">
        <f>C44</f>
        <v>-1163885</v>
      </c>
      <c r="D49" s="39"/>
      <c r="E49" s="40"/>
      <c r="F49" s="40"/>
      <c r="G49" s="40"/>
      <c r="H49" s="41"/>
      <c r="I49" s="10"/>
    </row>
    <row r="50" spans="2:9" ht="15.75" thickBot="1">
      <c r="B50" s="14" t="s">
        <v>49</v>
      </c>
      <c r="C50" s="30"/>
      <c r="D50" s="31">
        <f>-I11</f>
        <v>-184628</v>
      </c>
      <c r="E50" s="31">
        <f>D50</f>
        <v>-184628</v>
      </c>
      <c r="F50" s="31">
        <f>E50</f>
        <v>-184628</v>
      </c>
      <c r="G50" s="31">
        <f>F50</f>
        <v>-184628</v>
      </c>
      <c r="H50" s="52">
        <f>G50</f>
        <v>-184628</v>
      </c>
      <c r="I50" s="9"/>
    </row>
    <row r="51" spans="2:9" s="32" customFormat="1" ht="15.75" thickTop="1">
      <c r="B51" s="44" t="s">
        <v>45</v>
      </c>
      <c r="C51" s="53">
        <f>C49</f>
        <v>-1163885</v>
      </c>
      <c r="D51" s="54">
        <f>D44+D50</f>
        <v>161787.40000000002</v>
      </c>
      <c r="E51" s="54">
        <f>E44+E50</f>
        <v>127256.19999999995</v>
      </c>
      <c r="F51" s="54">
        <f>F44+F50</f>
        <v>162108</v>
      </c>
      <c r="G51" s="54">
        <f>G44+G50</f>
        <v>322108</v>
      </c>
      <c r="H51" s="55">
        <f>H44+H50</f>
        <v>322108</v>
      </c>
      <c r="I51" s="34"/>
    </row>
    <row r="52" spans="2:8" ht="15">
      <c r="B52" s="14"/>
      <c r="C52" s="39"/>
      <c r="D52" s="39"/>
      <c r="E52" s="39"/>
      <c r="F52" s="39"/>
      <c r="G52" s="39"/>
      <c r="H52" s="15"/>
    </row>
    <row r="53" spans="2:8" ht="15">
      <c r="B53" s="56" t="s">
        <v>9</v>
      </c>
      <c r="C53" s="57"/>
      <c r="D53" s="57"/>
      <c r="E53" s="57"/>
      <c r="F53" s="57"/>
      <c r="G53" s="57"/>
      <c r="H53" s="58"/>
    </row>
    <row r="54" spans="2:8" ht="15">
      <c r="B54" s="56" t="s">
        <v>55</v>
      </c>
      <c r="C54" s="57"/>
      <c r="D54" s="57"/>
      <c r="E54" s="57"/>
      <c r="F54" s="57"/>
      <c r="G54" s="57"/>
      <c r="H54" s="59"/>
    </row>
    <row r="55" spans="2:8" ht="15">
      <c r="B55" s="14"/>
      <c r="C55" s="39"/>
      <c r="D55" s="39"/>
      <c r="E55" s="39"/>
      <c r="F55" s="39"/>
      <c r="G55" s="39"/>
      <c r="H55" s="15"/>
    </row>
    <row r="56" spans="2:8" ht="15" hidden="1">
      <c r="B56" s="14" t="s">
        <v>57</v>
      </c>
      <c r="C56" s="39"/>
      <c r="D56" s="39"/>
      <c r="E56" s="39"/>
      <c r="F56" s="39"/>
      <c r="G56" s="39"/>
      <c r="H56" s="15">
        <v>5630400</v>
      </c>
    </row>
    <row r="57" spans="2:8" ht="15" hidden="1">
      <c r="B57" s="14" t="s">
        <v>56</v>
      </c>
      <c r="C57" s="39"/>
      <c r="D57" s="39"/>
      <c r="E57" s="39"/>
      <c r="F57" s="39"/>
      <c r="G57" s="39"/>
      <c r="H57" s="15">
        <v>-337824</v>
      </c>
    </row>
    <row r="58" spans="2:8" ht="15" hidden="1">
      <c r="B58" s="14" t="s">
        <v>58</v>
      </c>
      <c r="C58" s="39"/>
      <c r="D58" s="39"/>
      <c r="E58" s="39"/>
      <c r="F58" s="39"/>
      <c r="G58" s="39"/>
      <c r="H58" s="15">
        <v>-2116705</v>
      </c>
    </row>
    <row r="59" spans="2:8" ht="15" hidden="1">
      <c r="B59" s="44" t="s">
        <v>59</v>
      </c>
      <c r="C59" s="39"/>
      <c r="D59" s="39"/>
      <c r="E59" s="39"/>
      <c r="F59" s="39"/>
      <c r="G59" s="39"/>
      <c r="H59" s="60">
        <f>H56+H57+H58</f>
        <v>3175871</v>
      </c>
    </row>
    <row r="60" spans="2:8" ht="15" hidden="1">
      <c r="B60" s="14"/>
      <c r="C60" s="39"/>
      <c r="D60" s="39"/>
      <c r="E60" s="39"/>
      <c r="F60" s="39"/>
      <c r="G60" s="39"/>
      <c r="H60" s="15"/>
    </row>
    <row r="61" spans="2:8" ht="15" hidden="1">
      <c r="B61" s="3"/>
      <c r="C61" s="3"/>
      <c r="D61" s="3"/>
      <c r="E61" s="3"/>
      <c r="F61" s="3"/>
      <c r="G61" s="3"/>
      <c r="H61" s="3"/>
    </row>
    <row r="62" spans="2:8" ht="15">
      <c r="B62" s="67" t="s">
        <v>105</v>
      </c>
      <c r="C62" s="35"/>
      <c r="D62" s="35"/>
      <c r="E62" s="35"/>
      <c r="F62" s="35"/>
      <c r="G62" s="35"/>
      <c r="H62" s="19"/>
    </row>
    <row r="63" spans="2:8" ht="15">
      <c r="B63" s="14"/>
      <c r="C63" s="3" t="s">
        <v>106</v>
      </c>
      <c r="D63" s="3">
        <v>2009</v>
      </c>
      <c r="E63" s="3">
        <v>2010</v>
      </c>
      <c r="F63" s="3">
        <v>2011</v>
      </c>
      <c r="G63" s="3">
        <v>2012</v>
      </c>
      <c r="H63" s="20">
        <v>2013</v>
      </c>
    </row>
    <row r="64" spans="2:8" ht="15">
      <c r="B64" s="14" t="s">
        <v>108</v>
      </c>
      <c r="C64" s="68">
        <f>C51</f>
        <v>-1163885</v>
      </c>
      <c r="D64" s="68"/>
      <c r="E64" s="68"/>
      <c r="F64" s="68"/>
      <c r="G64" s="68"/>
      <c r="H64" s="69"/>
    </row>
    <row r="65" spans="2:8" ht="15">
      <c r="B65" s="14" t="s">
        <v>107</v>
      </c>
      <c r="C65" s="68">
        <f>-794000</f>
        <v>-794000</v>
      </c>
      <c r="D65" s="68"/>
      <c r="E65" s="68"/>
      <c r="F65" s="68"/>
      <c r="G65" s="68"/>
      <c r="H65" s="69"/>
    </row>
    <row r="66" spans="2:8" ht="15">
      <c r="B66" s="14"/>
      <c r="C66" s="68"/>
      <c r="D66" s="68"/>
      <c r="E66" s="68"/>
      <c r="F66" s="68"/>
      <c r="G66" s="68"/>
      <c r="H66" s="69"/>
    </row>
    <row r="67" spans="2:8" ht="15">
      <c r="B67" s="14" t="s">
        <v>109</v>
      </c>
      <c r="C67" s="68"/>
      <c r="D67" s="68">
        <f>D51</f>
        <v>161787.40000000002</v>
      </c>
      <c r="E67" s="68">
        <f>E51</f>
        <v>127256.19999999995</v>
      </c>
      <c r="F67" s="68">
        <f>F51</f>
        <v>162108</v>
      </c>
      <c r="G67" s="68">
        <f>G51</f>
        <v>322108</v>
      </c>
      <c r="H67" s="69">
        <f>H51</f>
        <v>322108</v>
      </c>
    </row>
    <row r="68" spans="2:8" ht="15">
      <c r="B68" s="14" t="s">
        <v>116</v>
      </c>
      <c r="C68" s="68"/>
      <c r="D68" s="68"/>
      <c r="E68" s="68"/>
      <c r="F68" s="68"/>
      <c r="G68" s="68"/>
      <c r="H68" s="69">
        <f>3175871+600000</f>
        <v>3775871</v>
      </c>
    </row>
    <row r="69" spans="2:8" ht="15">
      <c r="B69" s="36" t="s">
        <v>110</v>
      </c>
      <c r="C69" s="40">
        <f>C64+C66+C65</f>
        <v>-1957885</v>
      </c>
      <c r="D69" s="40">
        <f>D67</f>
        <v>161787.40000000002</v>
      </c>
      <c r="E69" s="40">
        <f>E67</f>
        <v>127256.19999999995</v>
      </c>
      <c r="F69" s="40">
        <f>F67</f>
        <v>162108</v>
      </c>
      <c r="G69" s="40">
        <f>G67</f>
        <v>322108</v>
      </c>
      <c r="H69" s="41">
        <f>H67+H68</f>
        <v>4097979</v>
      </c>
    </row>
    <row r="70" spans="2:8" ht="15">
      <c r="B70" s="14"/>
      <c r="C70" s="68"/>
      <c r="D70" s="68"/>
      <c r="E70" s="68"/>
      <c r="F70" s="68"/>
      <c r="G70" s="68"/>
      <c r="H70" s="69"/>
    </row>
    <row r="71" spans="2:8" ht="15">
      <c r="B71" s="14" t="s">
        <v>111</v>
      </c>
      <c r="C71" s="70"/>
      <c r="D71" s="70">
        <f>-D69/$C$69</f>
        <v>0.08263376040983</v>
      </c>
      <c r="E71" s="70">
        <f>-E69/$C$69</f>
        <v>0.06499676947318149</v>
      </c>
      <c r="F71" s="70">
        <f>-F69/$C$69</f>
        <v>0.08279750853599675</v>
      </c>
      <c r="G71" s="70">
        <f>-G69/$C$69</f>
        <v>0.16451834505090954</v>
      </c>
      <c r="H71" s="71">
        <f>-H67/$C$69</f>
        <v>0.16451834505090954</v>
      </c>
    </row>
    <row r="72" spans="2:8" ht="15">
      <c r="B72" s="72" t="s">
        <v>46</v>
      </c>
      <c r="C72" s="73">
        <f>IRR(C69:H69,15)</f>
        <v>0.22156298803059465</v>
      </c>
      <c r="D72" s="61"/>
      <c r="E72" s="61"/>
      <c r="F72" s="61"/>
      <c r="G72" s="61"/>
      <c r="H72" s="1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2"/>
  <sheetViews>
    <sheetView zoomScalePageLayoutView="0" workbookViewId="0" topLeftCell="A1">
      <selection activeCell="D26" sqref="D26"/>
    </sheetView>
  </sheetViews>
  <sheetFormatPr defaultColWidth="9.140625" defaultRowHeight="15"/>
  <cols>
    <col min="2" max="2" width="25.7109375" style="0" bestFit="1" customWidth="1"/>
    <col min="3" max="3" width="20.57421875" style="0" customWidth="1"/>
    <col min="4" max="4" width="14.57421875" style="0" bestFit="1" customWidth="1"/>
    <col min="5" max="5" width="25.00390625" style="0" customWidth="1"/>
    <col min="6" max="6" width="20.140625" style="0" bestFit="1" customWidth="1"/>
    <col min="7" max="7" width="16.57421875" style="0" customWidth="1"/>
    <col min="8" max="8" width="14.28125" style="0" bestFit="1" customWidth="1"/>
    <col min="9" max="9" width="15.28125" style="0" hidden="1" customWidth="1"/>
    <col min="10" max="10" width="17.28125" style="0" hidden="1" customWidth="1"/>
    <col min="11" max="11" width="17.8515625" style="0" hidden="1" customWidth="1"/>
    <col min="12" max="12" width="14.28125" style="0" hidden="1" customWidth="1"/>
    <col min="13" max="14" width="0" style="0" hidden="1" customWidth="1"/>
  </cols>
  <sheetData>
    <row r="2" ht="18.75" customHeight="1">
      <c r="B2" s="33" t="s">
        <v>112</v>
      </c>
    </row>
    <row r="3" ht="15">
      <c r="B3" t="s">
        <v>53</v>
      </c>
    </row>
    <row r="5" spans="2:14" ht="15">
      <c r="B5" s="11"/>
      <c r="C5" s="12" t="s">
        <v>22</v>
      </c>
      <c r="D5" s="13"/>
      <c r="G5" s="23" t="s">
        <v>38</v>
      </c>
      <c r="H5" s="19"/>
      <c r="K5" t="s">
        <v>78</v>
      </c>
      <c r="N5" t="s">
        <v>86</v>
      </c>
    </row>
    <row r="6" spans="2:14" ht="15">
      <c r="B6" s="3"/>
      <c r="C6" s="14" t="s">
        <v>17</v>
      </c>
      <c r="D6" s="15">
        <v>1802705</v>
      </c>
      <c r="G6" s="14" t="s">
        <v>39</v>
      </c>
      <c r="H6" s="21">
        <v>0.82</v>
      </c>
      <c r="I6">
        <f>2716705/3280590</f>
        <v>0.8281147598450279</v>
      </c>
      <c r="K6" t="s">
        <v>80</v>
      </c>
      <c r="L6" t="s">
        <v>79</v>
      </c>
      <c r="M6" t="s">
        <v>81</v>
      </c>
      <c r="N6" t="s">
        <v>87</v>
      </c>
    </row>
    <row r="7" spans="2:13" ht="15">
      <c r="B7" s="3"/>
      <c r="C7" s="16" t="s">
        <v>20</v>
      </c>
      <c r="D7" s="17">
        <v>1477885</v>
      </c>
      <c r="G7" s="14" t="s">
        <v>40</v>
      </c>
      <c r="H7" s="15">
        <f>D10</f>
        <v>2716705</v>
      </c>
      <c r="K7" t="s">
        <v>83</v>
      </c>
      <c r="M7" t="s">
        <v>82</v>
      </c>
    </row>
    <row r="8" spans="2:13" ht="15">
      <c r="B8" s="3"/>
      <c r="C8" s="14"/>
      <c r="D8" s="15">
        <f>D7+D6</f>
        <v>3280590</v>
      </c>
      <c r="G8" s="14" t="s">
        <v>41</v>
      </c>
      <c r="H8" s="29">
        <v>0.085</v>
      </c>
      <c r="I8" s="28" t="s">
        <v>47</v>
      </c>
      <c r="K8" t="s">
        <v>85</v>
      </c>
      <c r="M8" t="s">
        <v>84</v>
      </c>
    </row>
    <row r="9" spans="2:8" ht="15">
      <c r="B9" s="3"/>
      <c r="C9" s="14"/>
      <c r="D9" s="15"/>
      <c r="G9" s="14" t="s">
        <v>42</v>
      </c>
      <c r="H9" s="20">
        <v>10</v>
      </c>
    </row>
    <row r="10" spans="2:11" ht="15">
      <c r="B10" s="3"/>
      <c r="C10" s="14" t="s">
        <v>18</v>
      </c>
      <c r="D10" s="15">
        <v>2716705</v>
      </c>
      <c r="G10" s="14" t="s">
        <v>43</v>
      </c>
      <c r="H10" s="24">
        <v>30</v>
      </c>
      <c r="K10" t="s">
        <v>77</v>
      </c>
    </row>
    <row r="11" spans="2:13" ht="15">
      <c r="B11" s="3"/>
      <c r="C11" s="16" t="s">
        <v>19</v>
      </c>
      <c r="D11" s="17">
        <v>563885</v>
      </c>
      <c r="G11" s="14" t="s">
        <v>44</v>
      </c>
      <c r="H11" s="25">
        <f>PMT(H8,H10,-H7)</f>
        <v>252790.9632009974</v>
      </c>
      <c r="I11" s="27">
        <f>81128+103500+90000</f>
        <v>274628</v>
      </c>
      <c r="K11" t="s">
        <v>88</v>
      </c>
      <c r="L11" t="s">
        <v>89</v>
      </c>
      <c r="M11" t="s">
        <v>90</v>
      </c>
    </row>
    <row r="12" spans="2:12" ht="15">
      <c r="B12" s="3"/>
      <c r="C12" s="14"/>
      <c r="D12" s="15">
        <f>D10+D11</f>
        <v>3280590</v>
      </c>
      <c r="G12" s="16"/>
      <c r="H12" s="18"/>
      <c r="K12" t="s">
        <v>91</v>
      </c>
      <c r="L12" t="s">
        <v>92</v>
      </c>
    </row>
    <row r="13" spans="3:12" ht="15">
      <c r="C13" s="16"/>
      <c r="D13" s="18"/>
      <c r="K13" t="s">
        <v>93</v>
      </c>
      <c r="L13" t="s">
        <v>94</v>
      </c>
    </row>
    <row r="14" spans="6:13" ht="15">
      <c r="F14" s="81" t="s">
        <v>74</v>
      </c>
      <c r="G14" s="87" t="s">
        <v>66</v>
      </c>
      <c r="H14" s="88"/>
      <c r="K14" t="s">
        <v>95</v>
      </c>
      <c r="L14" t="s">
        <v>96</v>
      </c>
      <c r="M14" t="s">
        <v>97</v>
      </c>
    </row>
    <row r="15" spans="2:8" ht="15">
      <c r="B15" s="6"/>
      <c r="C15" s="12" t="s">
        <v>21</v>
      </c>
      <c r="D15" s="19"/>
      <c r="F15" s="64"/>
      <c r="G15" s="64"/>
      <c r="H15" s="64"/>
    </row>
    <row r="16" spans="3:9" ht="15">
      <c r="C16" s="14" t="s">
        <v>23</v>
      </c>
      <c r="D16" s="26">
        <v>41139</v>
      </c>
      <c r="F16" s="64">
        <v>50</v>
      </c>
      <c r="G16" s="64" t="s">
        <v>67</v>
      </c>
      <c r="H16" s="64">
        <v>1081705</v>
      </c>
      <c r="I16" t="s">
        <v>71</v>
      </c>
    </row>
    <row r="17" spans="3:9" ht="15">
      <c r="C17" s="14" t="s">
        <v>24</v>
      </c>
      <c r="D17" s="15">
        <v>8</v>
      </c>
      <c r="F17" s="64">
        <v>50</v>
      </c>
      <c r="G17" s="64" t="s">
        <v>68</v>
      </c>
      <c r="H17" s="64">
        <v>1035000</v>
      </c>
      <c r="I17" t="s">
        <v>72</v>
      </c>
    </row>
    <row r="18" spans="3:9" ht="15">
      <c r="C18" s="14" t="s">
        <v>25</v>
      </c>
      <c r="D18" s="21">
        <v>0.1</v>
      </c>
      <c r="F18" s="64">
        <v>10</v>
      </c>
      <c r="G18" s="64" t="s">
        <v>69</v>
      </c>
      <c r="H18" s="64">
        <v>600000</v>
      </c>
      <c r="I18" t="s">
        <v>73</v>
      </c>
    </row>
    <row r="19" spans="3:9" ht="15">
      <c r="C19" s="16" t="s">
        <v>32</v>
      </c>
      <c r="D19" s="22">
        <v>0</v>
      </c>
      <c r="F19" s="64">
        <v>40</v>
      </c>
      <c r="G19" s="64" t="s">
        <v>70</v>
      </c>
      <c r="H19" s="64">
        <v>563885</v>
      </c>
      <c r="I19" t="s">
        <v>75</v>
      </c>
    </row>
    <row r="20" spans="3:8" ht="15">
      <c r="C20" s="3"/>
      <c r="D20" s="63"/>
      <c r="G20" s="3"/>
      <c r="H20" s="3"/>
    </row>
    <row r="21" spans="3:8" ht="15">
      <c r="C21" s="3"/>
      <c r="D21" s="63"/>
      <c r="G21" s="66" t="s">
        <v>76</v>
      </c>
      <c r="H21" s="3"/>
    </row>
    <row r="22" spans="3:4" ht="15">
      <c r="C22" s="3"/>
      <c r="D22" s="63"/>
    </row>
    <row r="24" spans="2:8" ht="15">
      <c r="B24" s="23"/>
      <c r="C24" s="35"/>
      <c r="D24" s="35">
        <v>2009</v>
      </c>
      <c r="E24" s="35">
        <v>2010</v>
      </c>
      <c r="F24" s="35">
        <v>2011</v>
      </c>
      <c r="G24" s="35">
        <v>2012</v>
      </c>
      <c r="H24" s="19">
        <v>2013</v>
      </c>
    </row>
    <row r="25" spans="2:8" ht="15">
      <c r="B25" s="36" t="s">
        <v>26</v>
      </c>
      <c r="C25" s="11"/>
      <c r="D25" s="37"/>
      <c r="E25" s="3"/>
      <c r="F25" s="3"/>
      <c r="G25" s="3"/>
      <c r="H25" s="20"/>
    </row>
    <row r="26" spans="2:9" ht="15">
      <c r="B26" s="14" t="s">
        <v>27</v>
      </c>
      <c r="C26" s="3"/>
      <c r="D26" s="37">
        <v>755966</v>
      </c>
      <c r="E26" s="37">
        <f>D26</f>
        <v>755966</v>
      </c>
      <c r="F26" s="37">
        <f>D26</f>
        <v>755966</v>
      </c>
      <c r="G26" s="37">
        <f>D26</f>
        <v>755966</v>
      </c>
      <c r="H26" s="38">
        <f>D26</f>
        <v>755966</v>
      </c>
      <c r="I26" s="5"/>
    </row>
    <row r="27" spans="2:8" ht="15">
      <c r="B27" s="14" t="s">
        <v>28</v>
      </c>
      <c r="C27" s="3"/>
      <c r="D27" s="37">
        <v>0</v>
      </c>
      <c r="E27" s="37">
        <v>0</v>
      </c>
      <c r="F27" s="37">
        <v>0</v>
      </c>
      <c r="G27" s="37">
        <v>0</v>
      </c>
      <c r="H27" s="38">
        <v>0</v>
      </c>
    </row>
    <row r="28" spans="2:8" ht="15">
      <c r="B28" s="14" t="s">
        <v>29</v>
      </c>
      <c r="C28" s="3"/>
      <c r="D28" s="37">
        <f>D27+D26</f>
        <v>755966</v>
      </c>
      <c r="E28" s="37">
        <f>E27+E26</f>
        <v>755966</v>
      </c>
      <c r="F28" s="37">
        <f>F27+F26</f>
        <v>755966</v>
      </c>
      <c r="G28" s="37">
        <f>G27+G26</f>
        <v>755966</v>
      </c>
      <c r="H28" s="38">
        <f>H27+H26</f>
        <v>755966</v>
      </c>
    </row>
    <row r="29" spans="2:8" ht="15">
      <c r="B29" s="14" t="s">
        <v>30</v>
      </c>
      <c r="C29" s="3"/>
      <c r="D29" s="37">
        <f>-($D$18*$D$28)</f>
        <v>-75596.6</v>
      </c>
      <c r="E29" s="37">
        <f>-(($D$18*$E$28))</f>
        <v>-75596.6</v>
      </c>
      <c r="F29" s="37">
        <f>-(($D$18*$F$28))</f>
        <v>-75596.6</v>
      </c>
      <c r="G29" s="37">
        <f>-(($D$18*$F$28))</f>
        <v>-75596.6</v>
      </c>
      <c r="H29" s="38">
        <f>-(($D$18*$F$28))</f>
        <v>-75596.6</v>
      </c>
    </row>
    <row r="30" spans="2:8" ht="15">
      <c r="B30" s="14" t="s">
        <v>31</v>
      </c>
      <c r="C30" s="3"/>
      <c r="D30" s="37">
        <f>D28+D29</f>
        <v>680369.4</v>
      </c>
      <c r="E30" s="37">
        <f>E28+E29</f>
        <v>680369.4</v>
      </c>
      <c r="F30" s="37">
        <f>F28+F29</f>
        <v>680369.4</v>
      </c>
      <c r="G30" s="37">
        <f>G28+G29</f>
        <v>680369.4</v>
      </c>
      <c r="H30" s="38">
        <f>H28+H29</f>
        <v>680369.4</v>
      </c>
    </row>
    <row r="31" spans="2:8" ht="15">
      <c r="B31" s="14"/>
      <c r="C31" s="3"/>
      <c r="D31" s="37"/>
      <c r="E31" s="37"/>
      <c r="F31" s="37"/>
      <c r="G31" s="37"/>
      <c r="H31" s="38"/>
    </row>
    <row r="32" spans="2:8" ht="15">
      <c r="B32" s="14"/>
      <c r="C32" s="3"/>
      <c r="D32" s="3"/>
      <c r="E32" s="3"/>
      <c r="F32" s="3"/>
      <c r="G32" s="3"/>
      <c r="H32" s="20"/>
    </row>
    <row r="33" spans="2:8" ht="15">
      <c r="B33" s="36" t="s">
        <v>13</v>
      </c>
      <c r="C33" s="11"/>
      <c r="D33" s="3"/>
      <c r="E33" s="3"/>
      <c r="F33" s="3"/>
      <c r="G33" s="3"/>
      <c r="H33" s="20"/>
    </row>
    <row r="34" spans="2:8" ht="15">
      <c r="B34" s="14" t="s">
        <v>48</v>
      </c>
      <c r="C34" s="3"/>
      <c r="D34" s="39">
        <v>-150273</v>
      </c>
      <c r="E34" s="39">
        <v>-167699</v>
      </c>
      <c r="F34" s="39">
        <f>-4.5*D16</f>
        <v>-185125.5</v>
      </c>
      <c r="G34" s="39">
        <f>-4.5*D16</f>
        <v>-185125.5</v>
      </c>
      <c r="H34" s="15">
        <f>-4.5*D16</f>
        <v>-185125.5</v>
      </c>
    </row>
    <row r="35" spans="2:8" ht="15">
      <c r="B35" s="14" t="s">
        <v>33</v>
      </c>
      <c r="C35" s="3"/>
      <c r="D35" s="39">
        <v>0</v>
      </c>
      <c r="E35" s="39">
        <v>0</v>
      </c>
      <c r="F35" s="39">
        <v>0</v>
      </c>
      <c r="G35" s="39">
        <v>0</v>
      </c>
      <c r="H35" s="15">
        <v>0</v>
      </c>
    </row>
    <row r="36" spans="2:8" ht="15">
      <c r="B36" s="14" t="s">
        <v>34</v>
      </c>
      <c r="C36" s="3"/>
      <c r="D36" s="39">
        <v>0</v>
      </c>
      <c r="E36" s="39">
        <v>0</v>
      </c>
      <c r="F36" s="39">
        <v>0</v>
      </c>
      <c r="G36" s="39">
        <v>0</v>
      </c>
      <c r="H36" s="15">
        <v>0</v>
      </c>
    </row>
    <row r="37" spans="2:8" ht="15">
      <c r="B37" s="14" t="s">
        <v>35</v>
      </c>
      <c r="C37" s="3"/>
      <c r="D37" s="39">
        <v>0</v>
      </c>
      <c r="E37" s="39">
        <v>0</v>
      </c>
      <c r="F37" s="39">
        <v>0</v>
      </c>
      <c r="G37" s="39">
        <v>0</v>
      </c>
      <c r="H37" s="15">
        <v>0</v>
      </c>
    </row>
    <row r="38" spans="2:8" ht="15">
      <c r="B38" s="14" t="s">
        <v>65</v>
      </c>
      <c r="C38" s="3"/>
      <c r="D38" s="39">
        <v>0</v>
      </c>
      <c r="E38" s="39">
        <v>0</v>
      </c>
      <c r="F38" s="39">
        <v>0</v>
      </c>
      <c r="G38" s="39">
        <v>0</v>
      </c>
      <c r="H38" s="15">
        <v>0</v>
      </c>
    </row>
    <row r="39" spans="2:8" ht="15">
      <c r="B39" s="14" t="s">
        <v>36</v>
      </c>
      <c r="C39" s="3"/>
      <c r="D39" s="39">
        <f>D38+D37+D36+D35+D34</f>
        <v>-150273</v>
      </c>
      <c r="E39" s="39">
        <f>E38+E37+E36+E35+E34</f>
        <v>-167699</v>
      </c>
      <c r="F39" s="39">
        <f>F38+F37+F36+F35+F34</f>
        <v>-185125.5</v>
      </c>
      <c r="G39" s="39">
        <f>G38+G37+G36+G35+G34</f>
        <v>-185125.5</v>
      </c>
      <c r="H39" s="15">
        <f>H38+H37+H36+H35+H34</f>
        <v>-185125.5</v>
      </c>
    </row>
    <row r="40" spans="2:8" s="6" customFormat="1" ht="15">
      <c r="B40" s="36" t="s">
        <v>9</v>
      </c>
      <c r="C40" s="11"/>
      <c r="D40" s="40">
        <f>D30+D39</f>
        <v>530096.4</v>
      </c>
      <c r="E40" s="40">
        <f>E30+E39</f>
        <v>512670.4</v>
      </c>
      <c r="F40" s="40">
        <f>F30+F39</f>
        <v>495243.9</v>
      </c>
      <c r="G40" s="40">
        <f>G30+G39</f>
        <v>495243.9</v>
      </c>
      <c r="H40" s="41">
        <f>H30+H39</f>
        <v>495243.9</v>
      </c>
    </row>
    <row r="41" spans="2:8" ht="15">
      <c r="B41" s="14"/>
      <c r="C41" s="39"/>
      <c r="D41" s="3"/>
      <c r="E41" s="3"/>
      <c r="F41" s="3"/>
      <c r="G41" s="3"/>
      <c r="H41" s="15"/>
    </row>
    <row r="42" spans="2:8" ht="15">
      <c r="B42" s="42" t="s">
        <v>50</v>
      </c>
      <c r="C42" s="3"/>
      <c r="D42" s="43"/>
      <c r="E42" s="40"/>
      <c r="F42" s="40"/>
      <c r="G42" s="40"/>
      <c r="H42" s="41"/>
    </row>
    <row r="43" spans="2:8" ht="15">
      <c r="B43" s="42" t="s">
        <v>54</v>
      </c>
      <c r="C43" s="3"/>
      <c r="D43" s="43"/>
      <c r="E43" s="40"/>
      <c r="F43" s="40"/>
      <c r="G43" s="40"/>
      <c r="H43" s="41"/>
    </row>
    <row r="44" spans="2:8" ht="15">
      <c r="B44" s="44" t="s">
        <v>51</v>
      </c>
      <c r="C44" s="45">
        <f>-D11</f>
        <v>-563885</v>
      </c>
      <c r="D44" s="46">
        <f>D40</f>
        <v>530096.4</v>
      </c>
      <c r="E44" s="46">
        <f>E40</f>
        <v>512670.4</v>
      </c>
      <c r="F44" s="46">
        <f>F40</f>
        <v>495243.9</v>
      </c>
      <c r="G44" s="46">
        <f>G40</f>
        <v>495243.9</v>
      </c>
      <c r="H44" s="47">
        <f>H40</f>
        <v>495243.9</v>
      </c>
    </row>
    <row r="45" spans="2:8" ht="15">
      <c r="B45" s="14"/>
      <c r="C45" s="3"/>
      <c r="D45" s="3"/>
      <c r="E45" s="3"/>
      <c r="F45" s="3"/>
      <c r="G45" s="3"/>
      <c r="H45" s="20"/>
    </row>
    <row r="46" spans="2:8" ht="15">
      <c r="B46" s="44" t="s">
        <v>37</v>
      </c>
      <c r="C46" s="48"/>
      <c r="D46" s="49">
        <f>D44/D8</f>
        <v>0.16158569037886478</v>
      </c>
      <c r="E46" s="49">
        <f>E44/D8</f>
        <v>0.15627384098592023</v>
      </c>
      <c r="F46" s="49">
        <f>F44/D8</f>
        <v>0.15096183918136677</v>
      </c>
      <c r="G46" s="49">
        <f>G44/D8</f>
        <v>0.15096183918136677</v>
      </c>
      <c r="H46" s="50">
        <f>H44/D8</f>
        <v>0.15096183918136677</v>
      </c>
    </row>
    <row r="47" spans="2:8" ht="15">
      <c r="B47" s="14"/>
      <c r="C47" s="3"/>
      <c r="D47" s="3"/>
      <c r="E47" s="3"/>
      <c r="F47" s="3"/>
      <c r="G47" s="3"/>
      <c r="H47" s="20"/>
    </row>
    <row r="48" spans="2:9" ht="15">
      <c r="B48" s="14"/>
      <c r="C48" s="3"/>
      <c r="D48" s="3"/>
      <c r="E48" s="3"/>
      <c r="F48" s="3"/>
      <c r="G48" s="3"/>
      <c r="H48" s="20"/>
      <c r="I48" s="4"/>
    </row>
    <row r="49" spans="2:9" ht="15">
      <c r="B49" s="42" t="s">
        <v>52</v>
      </c>
      <c r="C49" s="51">
        <f>(-563885)</f>
        <v>-563885</v>
      </c>
      <c r="D49" s="39"/>
      <c r="E49" s="40"/>
      <c r="F49" s="40"/>
      <c r="G49" s="40"/>
      <c r="H49" s="41"/>
      <c r="I49" s="10"/>
    </row>
    <row r="50" spans="2:9" ht="15.75" thickBot="1">
      <c r="B50" s="14" t="s">
        <v>49</v>
      </c>
      <c r="C50" s="30"/>
      <c r="D50" s="31">
        <v>-274628</v>
      </c>
      <c r="E50" s="31">
        <v>-274628</v>
      </c>
      <c r="F50" s="31">
        <v>-274628</v>
      </c>
      <c r="G50" s="31">
        <v>-274628</v>
      </c>
      <c r="H50" s="52">
        <v>-274628</v>
      </c>
      <c r="I50" s="9"/>
    </row>
    <row r="51" spans="2:9" s="32" customFormat="1" ht="15.75" thickTop="1">
      <c r="B51" s="44" t="s">
        <v>45</v>
      </c>
      <c r="C51" s="53">
        <f>C49</f>
        <v>-563885</v>
      </c>
      <c r="D51" s="54">
        <f>D44+D50</f>
        <v>255468.40000000002</v>
      </c>
      <c r="E51" s="54">
        <f>E44+E50</f>
        <v>238042.40000000002</v>
      </c>
      <c r="F51" s="54">
        <f>F44+F50</f>
        <v>220615.90000000002</v>
      </c>
      <c r="G51" s="54">
        <f>G44+G50</f>
        <v>220615.90000000002</v>
      </c>
      <c r="H51" s="55">
        <f>H44+H50</f>
        <v>220615.90000000002</v>
      </c>
      <c r="I51" s="34"/>
    </row>
    <row r="52" spans="2:8" ht="15">
      <c r="B52" s="14"/>
      <c r="C52" s="39"/>
      <c r="D52" s="39"/>
      <c r="E52" s="39"/>
      <c r="F52" s="39"/>
      <c r="G52" s="39"/>
      <c r="H52" s="15"/>
    </row>
    <row r="53" spans="2:8" ht="15" hidden="1">
      <c r="B53" s="56" t="s">
        <v>9</v>
      </c>
      <c r="C53" s="57"/>
      <c r="D53" s="57"/>
      <c r="E53" s="57"/>
      <c r="F53" s="57"/>
      <c r="G53" s="57"/>
      <c r="H53" s="58"/>
    </row>
    <row r="54" spans="2:8" ht="15" hidden="1">
      <c r="B54" s="56" t="s">
        <v>55</v>
      </c>
      <c r="C54" s="57"/>
      <c r="D54" s="57"/>
      <c r="E54" s="57"/>
      <c r="F54" s="57"/>
      <c r="G54" s="57"/>
      <c r="H54" s="59"/>
    </row>
    <row r="55" spans="2:8" ht="15" hidden="1">
      <c r="B55" s="14"/>
      <c r="C55" s="39"/>
      <c r="D55" s="39"/>
      <c r="E55" s="39"/>
      <c r="F55" s="39"/>
      <c r="G55" s="39"/>
      <c r="H55" s="15"/>
    </row>
    <row r="56" spans="2:8" ht="15" hidden="1">
      <c r="B56" s="14" t="s">
        <v>57</v>
      </c>
      <c r="C56" s="39"/>
      <c r="D56" s="39"/>
      <c r="E56" s="39"/>
      <c r="F56" s="39"/>
      <c r="G56" s="39"/>
      <c r="H56" s="15">
        <v>5630400</v>
      </c>
    </row>
    <row r="57" spans="2:8" ht="15" hidden="1">
      <c r="B57" s="14" t="s">
        <v>56</v>
      </c>
      <c r="C57" s="39"/>
      <c r="D57" s="39"/>
      <c r="E57" s="39"/>
      <c r="F57" s="39"/>
      <c r="G57" s="39"/>
      <c r="H57" s="15">
        <v>-337824</v>
      </c>
    </row>
    <row r="58" spans="2:8" ht="15" hidden="1">
      <c r="B58" s="14" t="s">
        <v>58</v>
      </c>
      <c r="C58" s="39"/>
      <c r="D58" s="39"/>
      <c r="E58" s="39"/>
      <c r="F58" s="39"/>
      <c r="G58" s="39"/>
      <c r="H58" s="15">
        <v>-2116705</v>
      </c>
    </row>
    <row r="59" spans="2:8" ht="15" hidden="1">
      <c r="B59" s="44" t="s">
        <v>59</v>
      </c>
      <c r="C59" s="39"/>
      <c r="D59" s="39"/>
      <c r="E59" s="39"/>
      <c r="F59" s="39"/>
      <c r="G59" s="39"/>
      <c r="H59" s="60">
        <f>H56+H57+H58</f>
        <v>3175871</v>
      </c>
    </row>
    <row r="60" spans="2:8" ht="15" hidden="1">
      <c r="B60" s="14"/>
      <c r="C60" s="39"/>
      <c r="D60" s="39"/>
      <c r="E60" s="39"/>
      <c r="F60" s="39"/>
      <c r="G60" s="39"/>
      <c r="H60" s="15"/>
    </row>
    <row r="61" spans="2:8" ht="15" hidden="1">
      <c r="B61" s="3"/>
      <c r="C61" s="3"/>
      <c r="D61" s="3"/>
      <c r="E61" s="3"/>
      <c r="F61" s="3"/>
      <c r="G61" s="3"/>
      <c r="H61" s="3"/>
    </row>
    <row r="62" spans="2:8" ht="15">
      <c r="B62" s="67" t="s">
        <v>105</v>
      </c>
      <c r="C62" s="35"/>
      <c r="D62" s="35"/>
      <c r="E62" s="35"/>
      <c r="F62" s="35"/>
      <c r="G62" s="35"/>
      <c r="H62" s="19"/>
    </row>
    <row r="63" spans="2:8" ht="15">
      <c r="B63" s="14"/>
      <c r="C63" s="3" t="s">
        <v>106</v>
      </c>
      <c r="D63" s="3">
        <v>2009</v>
      </c>
      <c r="E63" s="3">
        <v>2010</v>
      </c>
      <c r="F63" s="3">
        <v>2011</v>
      </c>
      <c r="G63" s="3">
        <v>2012</v>
      </c>
      <c r="H63" s="20">
        <v>2013</v>
      </c>
    </row>
    <row r="64" spans="2:8" ht="15">
      <c r="B64" s="14" t="s">
        <v>108</v>
      </c>
      <c r="C64" s="68">
        <f>(-563885)</f>
        <v>-563885</v>
      </c>
      <c r="D64" s="68"/>
      <c r="E64" s="68"/>
      <c r="F64" s="68"/>
      <c r="G64" s="68"/>
      <c r="H64" s="69"/>
    </row>
    <row r="65" spans="2:8" ht="15">
      <c r="B65" s="14" t="s">
        <v>107</v>
      </c>
      <c r="C65" s="68">
        <f>-794000</f>
        <v>-794000</v>
      </c>
      <c r="D65" s="68"/>
      <c r="E65" s="68"/>
      <c r="F65" s="68"/>
      <c r="G65" s="68"/>
      <c r="H65" s="69"/>
    </row>
    <row r="66" spans="2:8" ht="15">
      <c r="B66" s="14"/>
      <c r="C66" s="68"/>
      <c r="D66" s="68"/>
      <c r="E66" s="68"/>
      <c r="F66" s="68"/>
      <c r="G66" s="68"/>
      <c r="H66" s="69"/>
    </row>
    <row r="67" spans="2:8" ht="15">
      <c r="B67" s="14" t="s">
        <v>109</v>
      </c>
      <c r="C67" s="68"/>
      <c r="D67" s="68">
        <f>D51</f>
        <v>255468.40000000002</v>
      </c>
      <c r="E67" s="68">
        <f>E51</f>
        <v>238042.40000000002</v>
      </c>
      <c r="F67" s="68">
        <f>F51</f>
        <v>220615.90000000002</v>
      </c>
      <c r="G67" s="68">
        <f>G51</f>
        <v>220615.90000000002</v>
      </c>
      <c r="H67" s="69">
        <f>H51</f>
        <v>220615.90000000002</v>
      </c>
    </row>
    <row r="68" spans="2:8" ht="15">
      <c r="B68" s="14" t="s">
        <v>116</v>
      </c>
      <c r="C68" s="68"/>
      <c r="D68" s="68"/>
      <c r="E68" s="68"/>
      <c r="F68" s="68"/>
      <c r="G68" s="68"/>
      <c r="H68" s="69">
        <v>3175871</v>
      </c>
    </row>
    <row r="69" spans="2:8" ht="15">
      <c r="B69" s="36" t="s">
        <v>110</v>
      </c>
      <c r="C69" s="40">
        <f>C64+C66+C65</f>
        <v>-1357885</v>
      </c>
      <c r="D69" s="40">
        <f>D67</f>
        <v>255468.40000000002</v>
      </c>
      <c r="E69" s="40">
        <f>E67</f>
        <v>238042.40000000002</v>
      </c>
      <c r="F69" s="40">
        <f>F67</f>
        <v>220615.90000000002</v>
      </c>
      <c r="G69" s="40">
        <f>G67</f>
        <v>220615.90000000002</v>
      </c>
      <c r="H69" s="41">
        <f>H67+H68</f>
        <v>3396486.9</v>
      </c>
    </row>
    <row r="70" spans="2:8" ht="15">
      <c r="B70" s="14"/>
      <c r="C70" s="68"/>
      <c r="D70" s="68"/>
      <c r="E70" s="68"/>
      <c r="F70" s="68"/>
      <c r="G70" s="68"/>
      <c r="H70" s="69"/>
    </row>
    <row r="71" spans="2:8" ht="15">
      <c r="B71" s="14" t="s">
        <v>111</v>
      </c>
      <c r="C71" s="70"/>
      <c r="D71" s="70">
        <f>-D69/$C$69</f>
        <v>0.18813699245517848</v>
      </c>
      <c r="E71" s="70">
        <f>-E69/$C$69</f>
        <v>0.1753037996590286</v>
      </c>
      <c r="F71" s="70">
        <f>-F69/$C$69</f>
        <v>0.16247023864318408</v>
      </c>
      <c r="G71" s="70">
        <f>-G69/$C$69</f>
        <v>0.16247023864318408</v>
      </c>
      <c r="H71" s="71">
        <f>-H67/$C$69</f>
        <v>0.16247023864318408</v>
      </c>
    </row>
    <row r="72" spans="2:8" ht="15">
      <c r="B72" s="72" t="s">
        <v>46</v>
      </c>
      <c r="C72" s="73">
        <f>IRR(C69:H69,10)</f>
        <v>0.3171186619639349</v>
      </c>
      <c r="D72" s="61"/>
      <c r="E72" s="61"/>
      <c r="F72" s="61"/>
      <c r="G72" s="61"/>
      <c r="H72" s="18"/>
    </row>
  </sheetData>
  <sheetProtection/>
  <mergeCells count="1">
    <mergeCell ref="G14:H14"/>
  </mergeCells>
  <printOptions/>
  <pageMargins left="0.25" right="0.25" top="0.75" bottom="0.75" header="0.3" footer="0.3"/>
  <pageSetup fitToHeight="0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U51"/>
  <sheetViews>
    <sheetView tabSelected="1" zoomScalePageLayoutView="0" workbookViewId="0" topLeftCell="F1">
      <selection activeCell="G22" sqref="G22"/>
    </sheetView>
  </sheetViews>
  <sheetFormatPr defaultColWidth="9.140625" defaultRowHeight="15"/>
  <cols>
    <col min="4" max="4" width="12.140625" style="0" customWidth="1"/>
    <col min="5" max="5" width="12.7109375" style="0" bestFit="1" customWidth="1"/>
    <col min="7" max="7" width="11.8515625" style="0" customWidth="1"/>
    <col min="8" max="8" width="9.28125" style="0" bestFit="1" customWidth="1"/>
    <col min="18" max="18" width="10.421875" style="0" customWidth="1"/>
    <col min="19" max="19" width="14.8515625" style="0" customWidth="1"/>
    <col min="20" max="20" width="12.00390625" style="0" customWidth="1"/>
    <col min="21" max="21" width="11.421875" style="0" customWidth="1"/>
  </cols>
  <sheetData>
    <row r="2" ht="17.25">
      <c r="G2" s="33" t="s">
        <v>115</v>
      </c>
    </row>
    <row r="3" ht="15">
      <c r="G3" t="s">
        <v>53</v>
      </c>
    </row>
    <row r="4" ht="15">
      <c r="E4" s="32" t="s">
        <v>60</v>
      </c>
    </row>
    <row r="5" spans="8:12" ht="15">
      <c r="H5">
        <v>2009</v>
      </c>
      <c r="L5">
        <v>2010</v>
      </c>
    </row>
    <row r="6" spans="4:11" ht="15">
      <c r="D6" t="s">
        <v>62</v>
      </c>
      <c r="G6">
        <f>2066+3473</f>
        <v>5539</v>
      </c>
      <c r="H6">
        <v>26</v>
      </c>
      <c r="I6">
        <f>G6*H6</f>
        <v>144014</v>
      </c>
      <c r="K6" s="74">
        <v>0.03</v>
      </c>
    </row>
    <row r="7" spans="4:21" ht="15">
      <c r="D7">
        <v>2009</v>
      </c>
      <c r="E7">
        <v>6905</v>
      </c>
      <c r="G7">
        <f>E7-G6</f>
        <v>1366</v>
      </c>
      <c r="H7">
        <v>20</v>
      </c>
      <c r="I7">
        <f aca="true" t="shared" si="0" ref="I7:I13">G7*H7</f>
        <v>27320</v>
      </c>
      <c r="R7" s="90" t="s">
        <v>124</v>
      </c>
      <c r="S7" s="91"/>
      <c r="T7" s="91"/>
      <c r="U7" s="92"/>
    </row>
    <row r="8" spans="4:21" ht="15">
      <c r="D8">
        <v>2009</v>
      </c>
      <c r="E8">
        <v>7745</v>
      </c>
      <c r="G8">
        <f>E8</f>
        <v>7745</v>
      </c>
      <c r="H8">
        <v>20</v>
      </c>
      <c r="I8">
        <f t="shared" si="0"/>
        <v>154900</v>
      </c>
      <c r="R8" s="89">
        <v>2009</v>
      </c>
      <c r="S8" s="89"/>
      <c r="T8" s="89">
        <v>2010</v>
      </c>
      <c r="U8" s="89"/>
    </row>
    <row r="9" spans="18:21" ht="15">
      <c r="R9" s="80" t="s">
        <v>126</v>
      </c>
      <c r="S9" s="80" t="s">
        <v>127</v>
      </c>
      <c r="T9" s="80" t="s">
        <v>126</v>
      </c>
      <c r="U9" s="80" t="s">
        <v>127</v>
      </c>
    </row>
    <row r="10" spans="4:21" ht="15">
      <c r="D10">
        <v>2010</v>
      </c>
      <c r="E10">
        <v>7745</v>
      </c>
      <c r="G10">
        <f>E10</f>
        <v>7745</v>
      </c>
      <c r="H10">
        <v>20</v>
      </c>
      <c r="I10">
        <f t="shared" si="0"/>
        <v>154900</v>
      </c>
      <c r="R10" s="64" t="s">
        <v>125</v>
      </c>
      <c r="S10" s="64">
        <v>3</v>
      </c>
      <c r="T10" s="64" t="s">
        <v>122</v>
      </c>
      <c r="U10" s="64"/>
    </row>
    <row r="11" spans="4:21" ht="15">
      <c r="D11">
        <v>2010</v>
      </c>
      <c r="E11">
        <v>7825</v>
      </c>
      <c r="G11">
        <f>E11</f>
        <v>7825</v>
      </c>
      <c r="H11">
        <v>20</v>
      </c>
      <c r="I11">
        <f t="shared" si="0"/>
        <v>156500</v>
      </c>
      <c r="R11" s="64" t="s">
        <v>119</v>
      </c>
      <c r="S11" s="64">
        <v>3</v>
      </c>
      <c r="T11" s="64" t="s">
        <v>123</v>
      </c>
      <c r="U11" s="64"/>
    </row>
    <row r="12" spans="4:21" ht="15">
      <c r="D12" t="s">
        <v>63</v>
      </c>
      <c r="E12">
        <v>7745</v>
      </c>
      <c r="G12">
        <f>E12</f>
        <v>7745</v>
      </c>
      <c r="H12">
        <v>20</v>
      </c>
      <c r="I12">
        <f t="shared" si="0"/>
        <v>154900</v>
      </c>
      <c r="R12" s="64" t="s">
        <v>120</v>
      </c>
      <c r="S12" s="64">
        <v>3</v>
      </c>
      <c r="T12" s="64"/>
      <c r="U12" s="64"/>
    </row>
    <row r="13" spans="4:21" ht="15">
      <c r="D13">
        <v>2009</v>
      </c>
      <c r="E13">
        <v>7745</v>
      </c>
      <c r="G13">
        <f>E13</f>
        <v>7745</v>
      </c>
      <c r="H13">
        <v>20</v>
      </c>
      <c r="I13">
        <f t="shared" si="0"/>
        <v>154900</v>
      </c>
      <c r="R13" s="64" t="s">
        <v>121</v>
      </c>
      <c r="S13" s="64">
        <v>3</v>
      </c>
      <c r="T13" s="64"/>
      <c r="U13" s="64"/>
    </row>
    <row r="15" spans="5:9" ht="15">
      <c r="E15">
        <f>SUM(E7:E13)</f>
        <v>45710</v>
      </c>
      <c r="I15">
        <f>SUM(I6:I13)</f>
        <v>947434</v>
      </c>
    </row>
    <row r="16" spans="5:9" ht="15">
      <c r="E16">
        <f>-E15*0.1</f>
        <v>-4571</v>
      </c>
      <c r="H16">
        <v>8</v>
      </c>
      <c r="I16">
        <f>E16*H16</f>
        <v>-36568</v>
      </c>
    </row>
    <row r="18" spans="3:9" ht="15">
      <c r="C18" t="s">
        <v>61</v>
      </c>
      <c r="E18">
        <f>SUM(E15:E16)</f>
        <v>41139</v>
      </c>
      <c r="G18" s="62">
        <v>15</v>
      </c>
      <c r="H18" s="62">
        <f>E18*G18</f>
        <v>617085</v>
      </c>
      <c r="I18">
        <f>SUM(I15:I16)</f>
        <v>910866</v>
      </c>
    </row>
    <row r="20" spans="3:12" ht="15">
      <c r="C20" t="s">
        <v>64</v>
      </c>
      <c r="I20">
        <f>I18-I12</f>
        <v>755966</v>
      </c>
      <c r="L20">
        <f>I20*0.03</f>
        <v>22678.98</v>
      </c>
    </row>
    <row r="21" ht="15">
      <c r="L21">
        <f>I20+L20</f>
        <v>778644.98</v>
      </c>
    </row>
    <row r="24" ht="15">
      <c r="C24" s="86" t="s">
        <v>98</v>
      </c>
    </row>
    <row r="25" spans="3:4" ht="15">
      <c r="C25">
        <v>1</v>
      </c>
      <c r="D25" t="s">
        <v>99</v>
      </c>
    </row>
    <row r="26" spans="3:4" ht="15">
      <c r="C26">
        <v>2</v>
      </c>
      <c r="D26" t="s">
        <v>100</v>
      </c>
    </row>
    <row r="27" spans="3:4" ht="15">
      <c r="C27">
        <v>3</v>
      </c>
      <c r="D27" t="s">
        <v>101</v>
      </c>
    </row>
    <row r="28" spans="3:4" ht="15">
      <c r="C28">
        <v>4</v>
      </c>
      <c r="D28" t="s">
        <v>102</v>
      </c>
    </row>
    <row r="29" spans="3:4" ht="15">
      <c r="C29">
        <v>5</v>
      </c>
      <c r="D29" t="s">
        <v>103</v>
      </c>
    </row>
    <row r="30" spans="3:4" ht="15">
      <c r="C30">
        <v>6</v>
      </c>
      <c r="D30" t="s">
        <v>104</v>
      </c>
    </row>
    <row r="33" spans="4:16" ht="15">
      <c r="D33" s="95" t="s">
        <v>133</v>
      </c>
      <c r="E33" s="95"/>
      <c r="G33" s="95" t="s">
        <v>132</v>
      </c>
      <c r="H33" s="95"/>
      <c r="J33" s="96" t="s">
        <v>134</v>
      </c>
      <c r="K33" s="97"/>
      <c r="L33" s="98"/>
      <c r="N33" s="99" t="s">
        <v>137</v>
      </c>
      <c r="O33" s="100"/>
      <c r="P33" s="101"/>
    </row>
    <row r="34" spans="4:16" ht="15">
      <c r="D34" s="64"/>
      <c r="E34" s="64"/>
      <c r="G34" s="64"/>
      <c r="H34" s="64"/>
      <c r="J34" s="64"/>
      <c r="K34" s="64"/>
      <c r="L34" s="64"/>
      <c r="N34" s="14"/>
      <c r="O34" s="3"/>
      <c r="P34" s="20"/>
    </row>
    <row r="35" spans="4:16" ht="15">
      <c r="D35" s="77" t="s">
        <v>117</v>
      </c>
      <c r="E35" s="77" t="s">
        <v>46</v>
      </c>
      <c r="G35" s="76" t="s">
        <v>118</v>
      </c>
      <c r="H35" s="76" t="s">
        <v>46</v>
      </c>
      <c r="J35" s="64"/>
      <c r="K35" s="77" t="s">
        <v>135</v>
      </c>
      <c r="L35" s="77" t="s">
        <v>136</v>
      </c>
      <c r="N35" s="75">
        <v>0.2816</v>
      </c>
      <c r="O35" s="3"/>
      <c r="P35" s="20"/>
    </row>
    <row r="36" spans="4:16" ht="15">
      <c r="D36" s="78">
        <v>0</v>
      </c>
      <c r="E36" s="78">
        <v>0.3201</v>
      </c>
      <c r="G36" s="64">
        <v>8</v>
      </c>
      <c r="H36" s="75">
        <v>0.0947</v>
      </c>
      <c r="J36" s="76" t="s">
        <v>46</v>
      </c>
      <c r="K36" s="78">
        <v>0.28</v>
      </c>
      <c r="L36" s="78">
        <v>0.26</v>
      </c>
      <c r="N36" s="14"/>
      <c r="O36" s="75">
        <v>0.2629</v>
      </c>
      <c r="P36" s="20"/>
    </row>
    <row r="37" spans="4:16" ht="15">
      <c r="D37" s="78">
        <v>0.05</v>
      </c>
      <c r="E37" s="79">
        <v>0.3005</v>
      </c>
      <c r="G37" s="64">
        <v>10</v>
      </c>
      <c r="H37" s="75">
        <v>0.1329</v>
      </c>
      <c r="J37" s="64"/>
      <c r="K37" s="85"/>
      <c r="L37" s="85"/>
      <c r="N37" s="16"/>
      <c r="O37" s="61"/>
      <c r="P37" s="75">
        <v>0.2216</v>
      </c>
    </row>
    <row r="38" spans="4:8" ht="15">
      <c r="D38" s="78">
        <v>0.1</v>
      </c>
      <c r="E38" s="79">
        <v>0.2816</v>
      </c>
      <c r="G38" s="64">
        <v>12</v>
      </c>
      <c r="H38" s="75">
        <v>0.1694</v>
      </c>
    </row>
    <row r="39" spans="4:8" ht="15">
      <c r="D39" s="78">
        <v>0.15</v>
      </c>
      <c r="E39" s="79">
        <v>0.2628</v>
      </c>
      <c r="G39" s="64">
        <v>15</v>
      </c>
      <c r="H39" s="75">
        <v>0.2228</v>
      </c>
    </row>
    <row r="40" spans="4:8" ht="15">
      <c r="D40" s="78">
        <v>0.2</v>
      </c>
      <c r="E40" s="79">
        <v>0.2441</v>
      </c>
      <c r="G40" s="64">
        <v>18</v>
      </c>
      <c r="H40" s="75">
        <v>0.277</v>
      </c>
    </row>
    <row r="41" spans="7:8" ht="15">
      <c r="G41" s="64">
        <v>20</v>
      </c>
      <c r="H41" s="75">
        <v>0.3171</v>
      </c>
    </row>
    <row r="46" spans="3:5" ht="15">
      <c r="C46" s="83" t="s">
        <v>128</v>
      </c>
      <c r="D46" s="93" t="s">
        <v>66</v>
      </c>
      <c r="E46" s="94"/>
    </row>
    <row r="47" spans="3:5" ht="15">
      <c r="C47" s="64"/>
      <c r="D47" s="64"/>
      <c r="E47" s="64"/>
    </row>
    <row r="48" spans="3:5" ht="15">
      <c r="C48" s="64">
        <v>50</v>
      </c>
      <c r="D48" s="64" t="s">
        <v>67</v>
      </c>
      <c r="E48" s="82">
        <v>1081705</v>
      </c>
    </row>
    <row r="49" spans="3:5" ht="15">
      <c r="C49" s="64">
        <v>50</v>
      </c>
      <c r="D49" s="64" t="s">
        <v>68</v>
      </c>
      <c r="E49" s="82">
        <v>1035000</v>
      </c>
    </row>
    <row r="50" spans="3:5" ht="15">
      <c r="C50" s="64">
        <v>10</v>
      </c>
      <c r="D50" s="64" t="s">
        <v>69</v>
      </c>
      <c r="E50" s="82">
        <v>600000</v>
      </c>
    </row>
    <row r="51" spans="3:5" ht="15">
      <c r="C51" s="64">
        <v>40</v>
      </c>
      <c r="D51" s="64" t="s">
        <v>70</v>
      </c>
      <c r="E51" s="82">
        <v>563885</v>
      </c>
    </row>
  </sheetData>
  <sheetProtection/>
  <mergeCells count="8">
    <mergeCell ref="R8:S8"/>
    <mergeCell ref="T8:U8"/>
    <mergeCell ref="R7:U7"/>
    <mergeCell ref="D46:E46"/>
    <mergeCell ref="D33:E33"/>
    <mergeCell ref="G33:H33"/>
    <mergeCell ref="J33:L33"/>
    <mergeCell ref="N33:P3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B2" sqref="B2:D10"/>
    </sheetView>
  </sheetViews>
  <sheetFormatPr defaultColWidth="9.140625" defaultRowHeight="15"/>
  <cols>
    <col min="3" max="3" width="13.140625" style="0" customWidth="1"/>
    <col min="4" max="4" width="13.57421875" style="0" customWidth="1"/>
  </cols>
  <sheetData>
    <row r="2" spans="2:4" ht="30">
      <c r="B2" s="76"/>
      <c r="C2" s="84" t="s">
        <v>129</v>
      </c>
      <c r="D2" s="76" t="s">
        <v>130</v>
      </c>
    </row>
    <row r="3" spans="2:4" ht="15">
      <c r="B3" s="64"/>
      <c r="C3" s="64">
        <v>2009</v>
      </c>
      <c r="D3" s="64">
        <v>6905</v>
      </c>
    </row>
    <row r="4" spans="2:4" ht="15">
      <c r="B4" s="64"/>
      <c r="C4" s="64">
        <v>2009</v>
      </c>
      <c r="D4" s="64">
        <v>7745</v>
      </c>
    </row>
    <row r="5" spans="2:4" ht="15">
      <c r="B5" s="64"/>
      <c r="C5" s="64">
        <v>2010</v>
      </c>
      <c r="D5" s="64">
        <v>7745</v>
      </c>
    </row>
    <row r="6" spans="2:4" ht="15">
      <c r="B6" s="64"/>
      <c r="C6" s="64">
        <v>2010</v>
      </c>
      <c r="D6" s="64">
        <v>7825</v>
      </c>
    </row>
    <row r="7" spans="2:4" ht="15">
      <c r="B7" s="64"/>
      <c r="C7" s="85" t="s">
        <v>63</v>
      </c>
      <c r="D7" s="64">
        <v>7745</v>
      </c>
    </row>
    <row r="8" spans="2:4" ht="15">
      <c r="B8" s="64"/>
      <c r="C8" s="64">
        <v>2009</v>
      </c>
      <c r="D8" s="64">
        <v>7745</v>
      </c>
    </row>
    <row r="9" spans="2:4" ht="15">
      <c r="B9" s="64"/>
      <c r="C9" s="64"/>
      <c r="D9" s="64"/>
    </row>
    <row r="10" spans="2:4" ht="15">
      <c r="B10" s="64" t="s">
        <v>131</v>
      </c>
      <c r="C10" s="64"/>
      <c r="D10" s="64">
        <f>SUM(D3:D8)</f>
        <v>45710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Americus, Ruthie</dc:creator>
  <cp:keywords/>
  <dc:description/>
  <cp:lastModifiedBy>acheerla</cp:lastModifiedBy>
  <cp:lastPrinted>2011-03-24T19:14:07Z</cp:lastPrinted>
  <dcterms:created xsi:type="dcterms:W3CDTF">2011-03-16T20:22:03Z</dcterms:created>
  <dcterms:modified xsi:type="dcterms:W3CDTF">2011-03-25T21:06:43Z</dcterms:modified>
  <cp:category/>
  <cp:version/>
  <cp:contentType/>
  <cp:contentStatus/>
</cp:coreProperties>
</file>